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Documents\Hydrocarbon Conspiracy\Website\"/>
    </mc:Choice>
  </mc:AlternateContent>
  <xr:revisionPtr revIDLastSave="0" documentId="13_ncr:1_{1E368068-3C97-42A4-885B-ABEE0D9C36EA}" xr6:coauthVersionLast="47" xr6:coauthVersionMax="47" xr10:uidLastSave="{00000000-0000-0000-0000-000000000000}"/>
  <bookViews>
    <workbookView xWindow="16395" yWindow="240" windowWidth="19170" windowHeight="2044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7" roundtripDataSignature="AMtx7mihXsFUUIpSSyBP5avXt+UXiOFHyQ=="/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D15" i="1"/>
  <c r="D14" i="1"/>
  <c r="D13" i="1"/>
  <c r="D12" i="1"/>
  <c r="D11" i="1"/>
  <c r="D10" i="1"/>
  <c r="D9" i="1"/>
  <c r="D8" i="1"/>
  <c r="D7" i="1"/>
  <c r="D6" i="1"/>
  <c r="G16" i="1"/>
  <c r="C16" i="1"/>
  <c r="H16" i="1" l="1"/>
  <c r="D16" i="1"/>
  <c r="C48" i="1" l="1"/>
  <c r="C37" i="1"/>
  <c r="G26" i="1"/>
  <c r="G37" i="1"/>
  <c r="G48" i="1"/>
  <c r="C26" i="1"/>
  <c r="D23" i="1" l="1"/>
  <c r="H23" i="1"/>
  <c r="H22" i="1"/>
  <c r="D22" i="1"/>
  <c r="H43" i="1"/>
  <c r="D32" i="1"/>
  <c r="H35" i="1"/>
  <c r="H34" i="1"/>
  <c r="H33" i="1"/>
  <c r="H32" i="1"/>
  <c r="H31" i="1"/>
  <c r="D43" i="1"/>
  <c r="G96" i="1" l="1"/>
  <c r="G97" i="1" s="1"/>
  <c r="C96" i="1"/>
  <c r="C97" i="1" s="1"/>
  <c r="H95" i="1"/>
  <c r="D95" i="1"/>
  <c r="H45" i="1"/>
  <c r="H44" i="1"/>
  <c r="H42" i="1"/>
  <c r="H48" i="1" s="1"/>
  <c r="D47" i="1"/>
  <c r="D45" i="1"/>
  <c r="D44" i="1"/>
  <c r="D42" i="1"/>
  <c r="D48" i="1" s="1"/>
  <c r="D35" i="1"/>
  <c r="D34" i="1"/>
  <c r="D33" i="1"/>
  <c r="D31" i="1"/>
  <c r="H47" i="1"/>
  <c r="H46" i="1"/>
  <c r="D46" i="1"/>
  <c r="H36" i="1"/>
  <c r="H37" i="1" s="1"/>
  <c r="D36" i="1"/>
  <c r="H88" i="1"/>
  <c r="H81" i="1"/>
  <c r="H74" i="1"/>
  <c r="H67" i="1"/>
  <c r="H60" i="1"/>
  <c r="H53" i="1"/>
  <c r="H25" i="1"/>
  <c r="H24" i="1"/>
  <c r="H21" i="1"/>
  <c r="G54" i="1"/>
  <c r="G61" i="1"/>
  <c r="G62" i="1" s="1"/>
  <c r="G68" i="1"/>
  <c r="G75" i="1"/>
  <c r="G76" i="1" s="1"/>
  <c r="G82" i="1"/>
  <c r="G89" i="1"/>
  <c r="G90" i="1" s="1"/>
  <c r="D88" i="1"/>
  <c r="C89" i="1"/>
  <c r="C75" i="1"/>
  <c r="D74" i="1"/>
  <c r="C68" i="1"/>
  <c r="D67" i="1"/>
  <c r="D81" i="1"/>
  <c r="C82" i="1"/>
  <c r="C54" i="1"/>
  <c r="D53" i="1"/>
  <c r="D60" i="1"/>
  <c r="C61" i="1"/>
  <c r="H82" i="1" l="1"/>
  <c r="G83" i="1"/>
  <c r="D82" i="1"/>
  <c r="D83" i="1" s="1"/>
  <c r="C83" i="1"/>
  <c r="H83" i="1"/>
  <c r="D61" i="1"/>
  <c r="D62" i="1" s="1"/>
  <c r="C62" i="1"/>
  <c r="H68" i="1"/>
  <c r="H69" i="1" s="1"/>
  <c r="G69" i="1"/>
  <c r="H54" i="1"/>
  <c r="H55" i="1" s="1"/>
  <c r="G55" i="1"/>
  <c r="D54" i="1"/>
  <c r="D55" i="1" s="1"/>
  <c r="C55" i="1"/>
  <c r="D37" i="1"/>
  <c r="D68" i="1"/>
  <c r="D69" i="1" s="1"/>
  <c r="C69" i="1"/>
  <c r="D75" i="1"/>
  <c r="D76" i="1" s="1"/>
  <c r="C76" i="1"/>
  <c r="D89" i="1"/>
  <c r="D90" i="1" s="1"/>
  <c r="C90" i="1"/>
  <c r="H26" i="1"/>
  <c r="D96" i="1"/>
  <c r="D97" i="1" s="1"/>
  <c r="H96" i="1"/>
  <c r="H97" i="1" s="1"/>
  <c r="H89" i="1"/>
  <c r="H90" i="1" s="1"/>
  <c r="H61" i="1"/>
  <c r="H62" i="1" s="1"/>
  <c r="H75" i="1"/>
  <c r="H76" i="1" s="1"/>
  <c r="D21" i="1"/>
  <c r="D25" i="1"/>
  <c r="D24" i="1"/>
  <c r="D26" i="1" l="1"/>
</calcChain>
</file>

<file path=xl/sharedStrings.xml><?xml version="1.0" encoding="utf-8"?>
<sst xmlns="http://schemas.openxmlformats.org/spreadsheetml/2006/main" count="230" uniqueCount="42">
  <si>
    <t>Refrigerant:</t>
  </si>
  <si>
    <t>R32</t>
  </si>
  <si>
    <t>R600A</t>
  </si>
  <si>
    <t>Volumetric %:</t>
  </si>
  <si>
    <t>Resulting Weight (g):</t>
  </si>
  <si>
    <t>R290</t>
  </si>
  <si>
    <t>Minus 60</t>
  </si>
  <si>
    <t>Bottle (Water capacity g):</t>
  </si>
  <si>
    <t>Water Capacity (All results include 80% fill safety margin)</t>
  </si>
  <si>
    <t>R170</t>
  </si>
  <si>
    <t>Propane Capacity (All results include 80% fill safety margin)</t>
  </si>
  <si>
    <t>Bottle (Propane capacity g):</t>
  </si>
  <si>
    <t>www.fundamentalenergy.com.au/hydrocarbonpack/</t>
  </si>
  <si>
    <t>Please check the main PDF document and other resources!</t>
  </si>
  <si>
    <t>Not endorsed by the hydrocarbon refrigerant manufacturers.</t>
  </si>
  <si>
    <t>My technical research is based on much analysis of publicly available data, but isn’t endorsed by any of the hydrocarbon gas manufacturers.</t>
  </si>
  <si>
    <t>Minus 50</t>
  </si>
  <si>
    <t>R1270</t>
  </si>
  <si>
    <t>Engas M30 clone (Estimated based on reverse engineering):</t>
  </si>
  <si>
    <t>Engas M50 clone (Estimated based on reverse engineering):</t>
  </si>
  <si>
    <t>Hychill Minus 30 EC clone (Estimated based on reverse engineering):</t>
  </si>
  <si>
    <t>Hychill Minus 30 clone (Estimated based on reverse engineering):</t>
  </si>
  <si>
    <t>Hychill Minus 50 clone (Estimated based on reverse engineering):</t>
  </si>
  <si>
    <t>Hychill Minus 60 clone (Estimated based on reverse engineering):</t>
  </si>
  <si>
    <t>How to fill bottles:</t>
  </si>
  <si>
    <t>Refer to Water Capacity or Propane Capacity on cylinder and enter data into this spreadsheet.</t>
  </si>
  <si>
    <t>Vacuum the cylinder.</t>
  </si>
  <si>
    <t>HC32</t>
  </si>
  <si>
    <t>Hychill HC32 clone (Estimated based on reverse engineering):</t>
  </si>
  <si>
    <t>Info &amp; Disclaimer:</t>
  </si>
  <si>
    <t>Custom based formula for R32 / R410A / R404A systems:</t>
  </si>
  <si>
    <t>Custom based formula for R22 and R407C systems:</t>
  </si>
  <si>
    <t>Custom based formula for R134A systems:</t>
  </si>
  <si>
    <t>Bottle total charge:</t>
  </si>
  <si>
    <t>www.hydrocarbonconspiracy.info</t>
  </si>
  <si>
    <t>Fill starting with the lowest pressure gas blend first, through to the highest pressure gas blend.</t>
  </si>
  <si>
    <t>You may need to use a reclaim unit to transfer the gas.</t>
  </si>
  <si>
    <t>M20</t>
  </si>
  <si>
    <t>M60</t>
  </si>
  <si>
    <t>Minus 30</t>
  </si>
  <si>
    <t>Minus 30 EC</t>
  </si>
  <si>
    <t>Generic (Custom):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</si>
</sst>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u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1"/>
    <xf numFmtId="0" fontId="3" fillId="0" borderId="0" xfId="0" applyFont="1"/>
    <xf numFmtId="0" fontId="3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ydrocarbonconspiracy.info/" TargetMode="External"/><Relationship Id="rId1" Type="http://schemas.openxmlformats.org/officeDocument/2006/relationships/hyperlink" Target="http://www.fundamentalenergy.com.au/hydrocarbonpac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3"/>
  <sheetViews>
    <sheetView tabSelected="1" zoomScale="85" zoomScaleNormal="85" workbookViewId="0">
      <selection activeCell="J12" sqref="J12"/>
    </sheetView>
  </sheetViews>
  <sheetFormatPr defaultColWidth="14.42578125" defaultRowHeight="15" customHeight="1" x14ac:dyDescent="0.25"/>
  <cols>
    <col min="1" max="1" width="3.5703125" customWidth="1"/>
    <col min="2" max="2" width="33.42578125" customWidth="1"/>
    <col min="3" max="3" width="14" style="1" customWidth="1"/>
    <col min="4" max="4" width="20.28515625" style="1" customWidth="1"/>
    <col min="5" max="5" width="3.42578125" customWidth="1"/>
    <col min="6" max="6" width="33.42578125" customWidth="1"/>
    <col min="7" max="7" width="14" style="1" customWidth="1"/>
    <col min="8" max="8" width="20.28515625" style="1" customWidth="1"/>
    <col min="9" max="9" width="3.5703125" customWidth="1"/>
    <col min="10" max="10" width="24.28515625" customWidth="1"/>
    <col min="11" max="11" width="30" style="1" customWidth="1"/>
    <col min="12" max="13" width="30" customWidth="1"/>
  </cols>
  <sheetData>
    <row r="1" spans="1:13" x14ac:dyDescent="0.25">
      <c r="A1" s="3"/>
      <c r="B1" s="51" t="s">
        <v>8</v>
      </c>
      <c r="C1" s="51"/>
      <c r="D1" s="51"/>
      <c r="E1" s="3"/>
      <c r="F1" s="50" t="s">
        <v>10</v>
      </c>
      <c r="G1" s="50"/>
      <c r="H1" s="50"/>
      <c r="I1" s="3"/>
      <c r="J1" s="49"/>
      <c r="K1" s="49"/>
      <c r="L1" s="3"/>
      <c r="M1" s="3"/>
    </row>
    <row r="2" spans="1:13" x14ac:dyDescent="0.25">
      <c r="A2" s="3"/>
      <c r="B2" s="41"/>
      <c r="C2" s="41"/>
      <c r="D2" s="41"/>
      <c r="E2" s="3"/>
      <c r="F2" s="40"/>
      <c r="G2" s="40"/>
      <c r="H2" s="40"/>
      <c r="I2" s="3"/>
      <c r="J2" s="39"/>
      <c r="K2" s="39"/>
      <c r="L2" s="3"/>
      <c r="M2" s="3"/>
    </row>
    <row r="3" spans="1:13" x14ac:dyDescent="0.25">
      <c r="A3" s="3"/>
      <c r="B3" s="58" t="s">
        <v>41</v>
      </c>
      <c r="C3" s="59"/>
      <c r="D3" s="60"/>
      <c r="E3" s="3"/>
      <c r="F3" s="68" t="s">
        <v>41</v>
      </c>
      <c r="G3" s="69"/>
      <c r="H3" s="70"/>
      <c r="I3" s="3"/>
      <c r="J3" s="39"/>
      <c r="K3" s="39"/>
      <c r="L3" s="3"/>
      <c r="M3" s="3"/>
    </row>
    <row r="4" spans="1:13" x14ac:dyDescent="0.25">
      <c r="A4" s="3"/>
      <c r="B4" s="61" t="s">
        <v>7</v>
      </c>
      <c r="C4" s="62">
        <v>22000</v>
      </c>
      <c r="D4" s="63"/>
      <c r="E4" s="3"/>
      <c r="F4" s="71" t="s">
        <v>11</v>
      </c>
      <c r="G4" s="72">
        <v>9000</v>
      </c>
      <c r="H4" s="73"/>
      <c r="I4" s="3"/>
      <c r="J4" s="39"/>
      <c r="K4" s="39"/>
      <c r="L4" s="3"/>
      <c r="M4" s="3"/>
    </row>
    <row r="5" spans="1:13" x14ac:dyDescent="0.25">
      <c r="A5" s="3"/>
      <c r="B5" s="61" t="s">
        <v>0</v>
      </c>
      <c r="C5" s="64" t="s">
        <v>3</v>
      </c>
      <c r="D5" s="64" t="s">
        <v>4</v>
      </c>
      <c r="E5" s="3"/>
      <c r="F5" s="74" t="s">
        <v>0</v>
      </c>
      <c r="G5" s="75" t="s">
        <v>3</v>
      </c>
      <c r="H5" s="75" t="s">
        <v>4</v>
      </c>
      <c r="I5" s="3"/>
      <c r="J5" s="39"/>
      <c r="K5" s="39"/>
      <c r="L5" s="3"/>
      <c r="M5" s="3"/>
    </row>
    <row r="6" spans="1:13" x14ac:dyDescent="0.25">
      <c r="A6" s="3"/>
      <c r="B6" s="65" t="s">
        <v>1</v>
      </c>
      <c r="C6" s="63">
        <v>27</v>
      </c>
      <c r="D6" s="63">
        <f>((C4/100)*C6/(1000000/960000))*0.8</f>
        <v>4561.92</v>
      </c>
      <c r="E6" s="3"/>
      <c r="F6" s="76" t="s">
        <v>1</v>
      </c>
      <c r="G6" s="73">
        <v>27</v>
      </c>
      <c r="H6" s="73">
        <f>((G4/100)*G6/(580000/960000))*0.8</f>
        <v>3217.6551724137935</v>
      </c>
      <c r="I6" s="3"/>
      <c r="J6" s="39"/>
      <c r="K6" s="39"/>
      <c r="L6" s="3"/>
      <c r="M6" s="3"/>
    </row>
    <row r="7" spans="1:13" x14ac:dyDescent="0.25">
      <c r="A7" s="3"/>
      <c r="B7" s="66" t="s">
        <v>27</v>
      </c>
      <c r="C7" s="67">
        <v>43</v>
      </c>
      <c r="D7" s="67">
        <f>((C4/100)*C7/(1000000/497659))*0.8</f>
        <v>3766.2833120000005</v>
      </c>
      <c r="E7" s="3"/>
      <c r="F7" s="77" t="s">
        <v>27</v>
      </c>
      <c r="G7" s="78">
        <v>43</v>
      </c>
      <c r="H7" s="78">
        <f>((G4/100)*G7/(580000/497659))*0.8</f>
        <v>2656.4694206896552</v>
      </c>
      <c r="I7" s="3"/>
      <c r="J7" s="39"/>
      <c r="K7" s="39"/>
      <c r="L7" s="3"/>
      <c r="M7" s="3"/>
    </row>
    <row r="8" spans="1:13" x14ac:dyDescent="0.25">
      <c r="A8" s="3"/>
      <c r="B8" s="66" t="s">
        <v>37</v>
      </c>
      <c r="C8" s="67">
        <v>0</v>
      </c>
      <c r="D8" s="67">
        <f>((C4/100)*C8/(1000000/528966))*0.8</f>
        <v>0</v>
      </c>
      <c r="E8" s="3"/>
      <c r="F8" s="77" t="s">
        <v>37</v>
      </c>
      <c r="G8" s="78">
        <v>0</v>
      </c>
      <c r="H8" s="78">
        <f>((G4/100)*G8/(580000/528966))*0.8</f>
        <v>0</v>
      </c>
      <c r="I8" s="3"/>
      <c r="J8" s="39"/>
      <c r="K8" s="39"/>
      <c r="L8" s="3"/>
      <c r="M8" s="3"/>
    </row>
    <row r="9" spans="1:13" x14ac:dyDescent="0.25">
      <c r="A9" s="3"/>
      <c r="B9" s="66" t="s">
        <v>38</v>
      </c>
      <c r="C9" s="67">
        <v>0</v>
      </c>
      <c r="D9" s="67">
        <f>((C4/100)*C9/(1000000/533080))*0.8</f>
        <v>0</v>
      </c>
      <c r="E9" s="3"/>
      <c r="F9" s="77" t="s">
        <v>38</v>
      </c>
      <c r="G9" s="78">
        <v>0</v>
      </c>
      <c r="H9" s="78">
        <f>((G4/100)*G9/(580000/533080))*0.8</f>
        <v>0</v>
      </c>
      <c r="I9" s="3"/>
      <c r="J9" s="39"/>
      <c r="K9" s="39"/>
      <c r="L9" s="3"/>
      <c r="M9" s="3"/>
    </row>
    <row r="10" spans="1:13" x14ac:dyDescent="0.25">
      <c r="A10" s="3"/>
      <c r="B10" s="65" t="s">
        <v>16</v>
      </c>
      <c r="C10" s="63">
        <v>0</v>
      </c>
      <c r="D10" s="63">
        <f>((C4/100)*C10/(1000000/571648))*0.8</f>
        <v>0</v>
      </c>
      <c r="E10" s="3"/>
      <c r="F10" s="76" t="s">
        <v>16</v>
      </c>
      <c r="G10" s="73">
        <v>0</v>
      </c>
      <c r="H10" s="73">
        <f>((G4/100)*G10/(580000/571648))*0.8</f>
        <v>0</v>
      </c>
      <c r="I10" s="3"/>
      <c r="J10" s="39"/>
      <c r="K10" s="39"/>
      <c r="L10" s="3"/>
      <c r="M10" s="3"/>
    </row>
    <row r="11" spans="1:13" x14ac:dyDescent="0.25">
      <c r="A11" s="3"/>
      <c r="B11" s="65" t="s">
        <v>6</v>
      </c>
      <c r="C11" s="63">
        <v>22</v>
      </c>
      <c r="D11" s="63">
        <f>((C4/100)*C11/(1000000/569447))*0.8</f>
        <v>2204.898784</v>
      </c>
      <c r="E11" s="3"/>
      <c r="F11" s="76" t="s">
        <v>6</v>
      </c>
      <c r="G11" s="73">
        <v>22</v>
      </c>
      <c r="H11" s="73">
        <f>((G4/100)*G11/(580000/569447))*0.8</f>
        <v>1555.1793931034481</v>
      </c>
      <c r="I11" s="3"/>
      <c r="J11" s="39"/>
      <c r="K11" s="39"/>
      <c r="L11" s="3"/>
      <c r="M11" s="3"/>
    </row>
    <row r="12" spans="1:13" x14ac:dyDescent="0.25">
      <c r="A12" s="3"/>
      <c r="B12" s="65" t="s">
        <v>5</v>
      </c>
      <c r="C12" s="67">
        <v>0</v>
      </c>
      <c r="D12" s="63">
        <f>((C4/100)*C12/(1000000/580000))*0.8</f>
        <v>0</v>
      </c>
      <c r="E12" s="3"/>
      <c r="F12" s="76" t="s">
        <v>5</v>
      </c>
      <c r="G12" s="78">
        <v>0</v>
      </c>
      <c r="H12" s="73">
        <f>((G4/100)*G12/(580000/580000))*0.8</f>
        <v>0</v>
      </c>
      <c r="I12" s="3"/>
      <c r="J12" s="39"/>
      <c r="K12" s="39"/>
      <c r="L12" s="3"/>
      <c r="M12" s="3"/>
    </row>
    <row r="13" spans="1:13" x14ac:dyDescent="0.25">
      <c r="A13" s="3"/>
      <c r="B13" s="65" t="s">
        <v>39</v>
      </c>
      <c r="C13" s="67">
        <v>0</v>
      </c>
      <c r="D13" s="63">
        <f>((C4/100)*C13/(1000000/554651))*0.8</f>
        <v>0</v>
      </c>
      <c r="E13" s="3"/>
      <c r="F13" s="76" t="s">
        <v>39</v>
      </c>
      <c r="G13" s="78">
        <v>0</v>
      </c>
      <c r="H13" s="73">
        <f>((G4/100)*G13/(580000/554651))*0.8</f>
        <v>0</v>
      </c>
      <c r="I13" s="3"/>
      <c r="J13" s="39"/>
      <c r="K13" s="39"/>
      <c r="L13" s="3"/>
      <c r="M13" s="3"/>
    </row>
    <row r="14" spans="1:13" x14ac:dyDescent="0.25">
      <c r="A14" s="3"/>
      <c r="B14" s="65" t="s">
        <v>40</v>
      </c>
      <c r="C14" s="67">
        <v>0</v>
      </c>
      <c r="D14" s="63">
        <f>((C4/100)*C14/(1000000/553836))*0.8</f>
        <v>0</v>
      </c>
      <c r="E14" s="3"/>
      <c r="F14" s="76" t="s">
        <v>40</v>
      </c>
      <c r="G14" s="78">
        <v>0</v>
      </c>
      <c r="H14" s="73">
        <f>((G4/100)*G14/(580000/553836))*0.8</f>
        <v>0</v>
      </c>
      <c r="I14" s="3"/>
      <c r="J14" s="39"/>
      <c r="K14" s="39"/>
      <c r="L14" s="3"/>
      <c r="M14" s="3"/>
    </row>
    <row r="15" spans="1:13" x14ac:dyDescent="0.25">
      <c r="A15" s="3"/>
      <c r="B15" s="65" t="s">
        <v>2</v>
      </c>
      <c r="C15" s="63">
        <v>8</v>
      </c>
      <c r="D15" s="63">
        <f>((C4/100)*C15/(1000000/550000))*0.8</f>
        <v>774.40000000000009</v>
      </c>
      <c r="E15" s="3"/>
      <c r="F15" s="76" t="s">
        <v>2</v>
      </c>
      <c r="G15" s="73">
        <v>8</v>
      </c>
      <c r="H15" s="73">
        <f>((G4/100)*G15/(580000/550000))*0.8</f>
        <v>546.20689655172418</v>
      </c>
      <c r="I15" s="3"/>
      <c r="J15" s="39"/>
      <c r="K15" s="39"/>
      <c r="L15" s="3"/>
      <c r="M15" s="3"/>
    </row>
    <row r="16" spans="1:13" x14ac:dyDescent="0.25">
      <c r="A16" s="3"/>
      <c r="B16" s="61" t="s">
        <v>33</v>
      </c>
      <c r="C16" s="63" t="str">
        <f>C6+C7+C8+C9+C10+C11+C12+C13+C14+C15&amp;"%"</f>
        <v>100%</v>
      </c>
      <c r="D16" s="63" t="str">
        <f>D6+D7+D8+D9+D10+D11+D12+D13+D14+D15&amp;"g"</f>
        <v>11307.502096g</v>
      </c>
      <c r="E16" s="3"/>
      <c r="F16" s="74" t="s">
        <v>33</v>
      </c>
      <c r="G16" s="73" t="str">
        <f>G6+G7+G8+G9+G10+G11+G12+G13+G14+G15&amp;"%"</f>
        <v>100%</v>
      </c>
      <c r="H16" s="73" t="str">
        <f>H6+H7+H8+H9+H10+H11+H12+H13+H14+H15&amp;"g"</f>
        <v>7975.51088275862g</v>
      </c>
      <c r="I16" s="3"/>
      <c r="J16" s="39"/>
      <c r="K16" s="39"/>
      <c r="L16" s="3"/>
      <c r="M16" s="3"/>
    </row>
    <row r="17" spans="1:13" x14ac:dyDescent="0.25">
      <c r="B17" s="26"/>
      <c r="C17" s="27"/>
      <c r="D17" s="27"/>
      <c r="F17" s="13"/>
      <c r="G17" s="14"/>
      <c r="H17" s="14"/>
      <c r="I17" s="3"/>
      <c r="J17" s="3"/>
      <c r="K17" s="2"/>
      <c r="L17" s="3"/>
      <c r="M17" s="3"/>
    </row>
    <row r="18" spans="1:13" x14ac:dyDescent="0.25">
      <c r="A18" s="3"/>
      <c r="B18" s="52" t="s">
        <v>30</v>
      </c>
      <c r="C18" s="53"/>
      <c r="D18" s="53"/>
      <c r="E18" s="3"/>
      <c r="F18" s="54" t="s">
        <v>30</v>
      </c>
      <c r="G18" s="55"/>
      <c r="H18" s="55"/>
      <c r="I18" s="3"/>
      <c r="J18" s="4"/>
      <c r="K18" s="2"/>
      <c r="L18" s="3"/>
      <c r="M18" s="3"/>
    </row>
    <row r="19" spans="1:13" x14ac:dyDescent="0.25">
      <c r="A19" s="3"/>
      <c r="B19" s="28" t="s">
        <v>7</v>
      </c>
      <c r="C19" s="29">
        <v>22000</v>
      </c>
      <c r="D19" s="29"/>
      <c r="E19" s="3"/>
      <c r="F19" s="15" t="s">
        <v>11</v>
      </c>
      <c r="G19" s="16">
        <v>9000</v>
      </c>
      <c r="H19" s="16"/>
      <c r="I19" s="3"/>
      <c r="J19" s="4"/>
      <c r="K19" s="5"/>
      <c r="L19" s="3"/>
      <c r="M19" s="3"/>
    </row>
    <row r="20" spans="1:13" x14ac:dyDescent="0.25">
      <c r="A20" s="3"/>
      <c r="B20" s="30" t="s">
        <v>0</v>
      </c>
      <c r="C20" s="31" t="s">
        <v>3</v>
      </c>
      <c r="D20" s="31" t="s">
        <v>4</v>
      </c>
      <c r="E20" s="3"/>
      <c r="F20" s="17" t="s">
        <v>0</v>
      </c>
      <c r="G20" s="18" t="s">
        <v>3</v>
      </c>
      <c r="H20" s="18" t="s">
        <v>4</v>
      </c>
      <c r="I20" s="3"/>
      <c r="J20" s="6"/>
      <c r="K20" s="2"/>
      <c r="L20" s="3"/>
      <c r="M20" s="3"/>
    </row>
    <row r="21" spans="1:13" x14ac:dyDescent="0.25">
      <c r="A21" s="3"/>
      <c r="B21" s="32" t="s">
        <v>1</v>
      </c>
      <c r="C21" s="29">
        <v>40</v>
      </c>
      <c r="D21" s="29">
        <f>((C19/100)*C21)/(1000000/960000)*0.8</f>
        <v>6758.4000000000005</v>
      </c>
      <c r="E21" s="3"/>
      <c r="F21" s="19" t="s">
        <v>1</v>
      </c>
      <c r="G21" s="16">
        <v>40</v>
      </c>
      <c r="H21" s="16">
        <f>((G19/100)*G21)/(580000/960000)*0.8</f>
        <v>4766.8965517241386</v>
      </c>
      <c r="I21" s="3"/>
      <c r="J21" s="6"/>
      <c r="K21" s="2"/>
      <c r="L21" s="3"/>
      <c r="M21" s="3"/>
    </row>
    <row r="22" spans="1:13" x14ac:dyDescent="0.25">
      <c r="A22" s="3"/>
      <c r="B22" s="33" t="s">
        <v>27</v>
      </c>
      <c r="C22" s="34">
        <v>60</v>
      </c>
      <c r="D22" s="34">
        <f>((C19/100)*C22)/(1000000/497659)*0.8</f>
        <v>5255.2790400000013</v>
      </c>
      <c r="F22" s="20" t="s">
        <v>27</v>
      </c>
      <c r="G22" s="21">
        <v>60</v>
      </c>
      <c r="H22" s="21">
        <f>((G19/100)*G22)/(580000/497659)*0.8</f>
        <v>3706.7015172413794</v>
      </c>
      <c r="I22" s="3"/>
      <c r="J22" s="3"/>
      <c r="K22" s="2"/>
      <c r="L22" s="3"/>
      <c r="M22" s="3"/>
    </row>
    <row r="23" spans="1:13" x14ac:dyDescent="0.25">
      <c r="A23" s="3"/>
      <c r="B23" s="33" t="s">
        <v>16</v>
      </c>
      <c r="C23" s="34">
        <v>0</v>
      </c>
      <c r="D23" s="34">
        <f>((C19/100)*C23)/(1000000/571648)*0.8</f>
        <v>0</v>
      </c>
      <c r="F23" s="20" t="s">
        <v>16</v>
      </c>
      <c r="G23" s="21">
        <v>0</v>
      </c>
      <c r="H23" s="21">
        <f>((G19/100)*G23)/(580000/571648)*0.8</f>
        <v>0</v>
      </c>
      <c r="I23" s="3"/>
      <c r="J23" s="7"/>
      <c r="K23" s="2"/>
      <c r="L23" s="3"/>
      <c r="M23" s="3"/>
    </row>
    <row r="24" spans="1:13" x14ac:dyDescent="0.25">
      <c r="A24" s="3"/>
      <c r="B24" s="32" t="s">
        <v>6</v>
      </c>
      <c r="C24" s="29">
        <v>0</v>
      </c>
      <c r="D24" s="29">
        <f>((C19/100)*C24)/(1000000/569447)*0.8</f>
        <v>0</v>
      </c>
      <c r="E24" s="3"/>
      <c r="F24" s="19" t="s">
        <v>6</v>
      </c>
      <c r="G24" s="16">
        <v>0</v>
      </c>
      <c r="H24" s="16">
        <f>((G19/100)*G24)/(580000/569447)*0.8</f>
        <v>0</v>
      </c>
      <c r="I24" s="3"/>
      <c r="J24" s="4"/>
      <c r="K24" s="5"/>
      <c r="L24" s="3"/>
      <c r="M24" s="3"/>
    </row>
    <row r="25" spans="1:13" x14ac:dyDescent="0.25">
      <c r="B25" s="32" t="s">
        <v>2</v>
      </c>
      <c r="C25" s="29">
        <v>0</v>
      </c>
      <c r="D25" s="29">
        <f>((C19/100)*C25)/(1000000/550000)*0.8</f>
        <v>0</v>
      </c>
      <c r="E25" s="3"/>
      <c r="F25" s="19" t="s">
        <v>2</v>
      </c>
      <c r="G25" s="16">
        <v>0</v>
      </c>
      <c r="H25" s="16">
        <f>((G19/100)*G25)/(580000/550000)*0.8</f>
        <v>0</v>
      </c>
      <c r="J25" s="6"/>
      <c r="K25" s="2"/>
      <c r="L25" s="3"/>
      <c r="M25" s="3"/>
    </row>
    <row r="26" spans="1:13" x14ac:dyDescent="0.25">
      <c r="A26" s="3"/>
      <c r="B26" s="28" t="s">
        <v>33</v>
      </c>
      <c r="C26" s="29" t="str">
        <f>C21+C22+C23+C24+C25&amp;"%"</f>
        <v>100%</v>
      </c>
      <c r="D26" s="29" t="str">
        <f>D21+D22+D23+D24+D25&amp;"g"</f>
        <v>12013.67904g</v>
      </c>
      <c r="E26" s="3"/>
      <c r="F26" s="15" t="s">
        <v>33</v>
      </c>
      <c r="G26" s="16" t="str">
        <f>G21+G22+G23+G24+G25&amp;"%"</f>
        <v>100%</v>
      </c>
      <c r="H26" s="16">
        <f>H21+H22+H23+H24+H25</f>
        <v>8473.5980689655189</v>
      </c>
      <c r="I26" s="3"/>
      <c r="J26" s="6"/>
      <c r="K26" s="2"/>
      <c r="L26" s="3"/>
      <c r="M26" s="3"/>
    </row>
    <row r="27" spans="1:13" x14ac:dyDescent="0.25">
      <c r="A27" s="3"/>
      <c r="B27" s="26"/>
      <c r="C27" s="27"/>
      <c r="D27" s="27"/>
      <c r="F27" s="22"/>
      <c r="G27" s="23"/>
      <c r="H27" s="23"/>
      <c r="I27" s="3"/>
      <c r="J27" s="6"/>
      <c r="K27" s="2"/>
      <c r="L27" s="3"/>
      <c r="M27" s="3"/>
    </row>
    <row r="28" spans="1:13" x14ac:dyDescent="0.25">
      <c r="A28" s="12"/>
      <c r="B28" s="56" t="s">
        <v>31</v>
      </c>
      <c r="C28" s="56"/>
      <c r="D28" s="56"/>
      <c r="F28" s="57" t="s">
        <v>31</v>
      </c>
      <c r="G28" s="57"/>
      <c r="H28" s="57"/>
      <c r="I28" s="3"/>
      <c r="J28" s="3"/>
      <c r="K28" s="2"/>
      <c r="L28" s="3"/>
      <c r="M28" s="3"/>
    </row>
    <row r="29" spans="1:13" x14ac:dyDescent="0.25">
      <c r="A29" s="12"/>
      <c r="B29" s="28" t="s">
        <v>7</v>
      </c>
      <c r="C29" s="29">
        <v>22000</v>
      </c>
      <c r="D29" s="29"/>
      <c r="E29" s="3"/>
      <c r="F29" s="15" t="s">
        <v>11</v>
      </c>
      <c r="G29" s="16">
        <v>9000</v>
      </c>
      <c r="H29" s="16"/>
      <c r="I29" s="3"/>
      <c r="J29" s="4"/>
      <c r="K29" s="2"/>
      <c r="L29" s="3"/>
      <c r="M29" s="3"/>
    </row>
    <row r="30" spans="1:13" x14ac:dyDescent="0.25">
      <c r="A30" s="12"/>
      <c r="B30" s="30" t="s">
        <v>0</v>
      </c>
      <c r="C30" s="31" t="s">
        <v>3</v>
      </c>
      <c r="D30" s="31" t="s">
        <v>4</v>
      </c>
      <c r="E30" s="3"/>
      <c r="F30" s="17" t="s">
        <v>0</v>
      </c>
      <c r="G30" s="18" t="s">
        <v>3</v>
      </c>
      <c r="H30" s="18" t="s">
        <v>4</v>
      </c>
      <c r="I30" s="3"/>
      <c r="J30" s="4"/>
      <c r="K30" s="2"/>
      <c r="L30" s="3"/>
      <c r="M30" s="3"/>
    </row>
    <row r="31" spans="1:13" x14ac:dyDescent="0.25">
      <c r="A31" s="12"/>
      <c r="B31" s="32" t="s">
        <v>1</v>
      </c>
      <c r="C31" s="35">
        <v>0</v>
      </c>
      <c r="D31" s="29">
        <f>((C29/100)*C31)/(1000000/960000)*0.8</f>
        <v>0</v>
      </c>
      <c r="E31" s="3"/>
      <c r="F31" s="19" t="s">
        <v>1</v>
      </c>
      <c r="G31" s="24">
        <v>0</v>
      </c>
      <c r="H31" s="16">
        <f>((G29/100)*G31)/(580000/960000)*0.8</f>
        <v>0</v>
      </c>
      <c r="I31" s="3"/>
      <c r="J31" s="4"/>
      <c r="K31" s="5"/>
      <c r="L31" s="3"/>
      <c r="M31" s="3"/>
    </row>
    <row r="32" spans="1:13" x14ac:dyDescent="0.25">
      <c r="A32" s="12"/>
      <c r="B32" s="33" t="s">
        <v>27</v>
      </c>
      <c r="C32" s="34">
        <v>0</v>
      </c>
      <c r="D32" s="34">
        <f>((C29/100)*C32)/(1000000/497659)*0.8</f>
        <v>0</v>
      </c>
      <c r="F32" s="20" t="s">
        <v>27</v>
      </c>
      <c r="G32" s="21">
        <v>0</v>
      </c>
      <c r="H32" s="21">
        <f>((G29/100)*G32)/(580000/497659)*0.8</f>
        <v>0</v>
      </c>
      <c r="I32" s="3"/>
      <c r="J32" s="6"/>
      <c r="K32" s="2"/>
      <c r="L32" s="3"/>
      <c r="M32" s="3"/>
    </row>
    <row r="33" spans="1:13" x14ac:dyDescent="0.25">
      <c r="A33" s="12"/>
      <c r="B33" s="32" t="s">
        <v>16</v>
      </c>
      <c r="C33" s="35">
        <v>0</v>
      </c>
      <c r="D33" s="29">
        <f>((C29/100)*C33)/(1000000/571648)*0.8</f>
        <v>0</v>
      </c>
      <c r="E33" s="3"/>
      <c r="F33" s="19" t="s">
        <v>16</v>
      </c>
      <c r="G33" s="24">
        <v>0</v>
      </c>
      <c r="H33" s="16">
        <f>((G29/100)*G33)/(580000/571648)*0.8</f>
        <v>0</v>
      </c>
      <c r="I33" s="3"/>
      <c r="J33" s="6"/>
      <c r="K33" s="2"/>
      <c r="L33" s="3"/>
      <c r="M33" s="3"/>
    </row>
    <row r="34" spans="1:13" x14ac:dyDescent="0.25">
      <c r="A34" s="12"/>
      <c r="B34" s="32" t="s">
        <v>6</v>
      </c>
      <c r="C34" s="35">
        <v>0</v>
      </c>
      <c r="D34" s="29">
        <f>((C29/100)*C34)/(1000000/569447)*0.8</f>
        <v>0</v>
      </c>
      <c r="E34" s="3"/>
      <c r="F34" s="19" t="s">
        <v>6</v>
      </c>
      <c r="G34" s="24">
        <v>0</v>
      </c>
      <c r="H34" s="16">
        <f>((G29/100)*G34)/(580000/569447)*0.8</f>
        <v>0</v>
      </c>
      <c r="I34" s="3"/>
      <c r="J34" s="6"/>
      <c r="K34" s="2"/>
      <c r="L34" s="3"/>
      <c r="M34" s="3"/>
    </row>
    <row r="35" spans="1:13" x14ac:dyDescent="0.25">
      <c r="A35" s="12"/>
      <c r="B35" s="32" t="s">
        <v>5</v>
      </c>
      <c r="C35" s="36">
        <v>0</v>
      </c>
      <c r="D35" s="29">
        <f>((C29/100)*C35)/(1000000/580000)*0.8</f>
        <v>0</v>
      </c>
      <c r="E35" s="3"/>
      <c r="F35" s="19" t="s">
        <v>5</v>
      </c>
      <c r="G35" s="25">
        <v>0</v>
      </c>
      <c r="H35" s="16">
        <f>((G29/100)*G35)/(580000/580000)*0.8</f>
        <v>0</v>
      </c>
      <c r="I35" s="3"/>
      <c r="J35" s="6"/>
      <c r="K35" s="2"/>
      <c r="L35" s="3"/>
      <c r="M35" s="3"/>
    </row>
    <row r="36" spans="1:13" x14ac:dyDescent="0.25">
      <c r="B36" s="32" t="s">
        <v>2</v>
      </c>
      <c r="C36" s="35">
        <v>0</v>
      </c>
      <c r="D36" s="29">
        <f>((C29/100)*C36)/(1000000/550000)*0.8</f>
        <v>0</v>
      </c>
      <c r="E36" s="3"/>
      <c r="F36" s="19" t="s">
        <v>2</v>
      </c>
      <c r="G36" s="24">
        <v>0</v>
      </c>
      <c r="H36" s="16">
        <f>((G29/100)*G36)/(580000/550000)*0.8</f>
        <v>0</v>
      </c>
      <c r="J36" s="6"/>
      <c r="K36" s="2"/>
      <c r="L36" s="3"/>
      <c r="M36" s="3"/>
    </row>
    <row r="37" spans="1:13" x14ac:dyDescent="0.25">
      <c r="B37" s="28" t="s">
        <v>33</v>
      </c>
      <c r="C37" s="29" t="str">
        <f>C31+C32+C33+C34+C35+C36&amp;"%"</f>
        <v>0%</v>
      </c>
      <c r="D37" s="29" t="str">
        <f>D31+D32+D33+D34+D35+D36&amp;"g"</f>
        <v>0g</v>
      </c>
      <c r="E37" s="3"/>
      <c r="F37" s="15" t="s">
        <v>33</v>
      </c>
      <c r="G37" s="16" t="str">
        <f>G31+G32+G33+G34+G35+G36&amp;"%"</f>
        <v>0%</v>
      </c>
      <c r="H37" s="16" t="str">
        <f>H31+H32+H33+H34+H35+H36&amp;"g"</f>
        <v>0g</v>
      </c>
      <c r="J37" s="6"/>
      <c r="K37" s="2"/>
      <c r="L37" s="3"/>
      <c r="M37" s="3"/>
    </row>
    <row r="38" spans="1:13" x14ac:dyDescent="0.25">
      <c r="B38" s="26"/>
      <c r="C38" s="27"/>
      <c r="D38" s="27"/>
      <c r="E38" s="3"/>
      <c r="F38" s="22"/>
      <c r="G38" s="23"/>
      <c r="H38" s="23"/>
      <c r="J38" s="6"/>
      <c r="K38" s="2"/>
      <c r="L38" s="3"/>
      <c r="M38" s="3"/>
    </row>
    <row r="39" spans="1:13" x14ac:dyDescent="0.25">
      <c r="B39" s="52" t="s">
        <v>32</v>
      </c>
      <c r="C39" s="52"/>
      <c r="D39" s="52"/>
      <c r="E39" s="3"/>
      <c r="F39" s="54" t="s">
        <v>32</v>
      </c>
      <c r="G39" s="54"/>
      <c r="H39" s="54"/>
      <c r="J39" s="6"/>
      <c r="K39" s="2"/>
      <c r="L39" s="3"/>
      <c r="M39" s="3"/>
    </row>
    <row r="40" spans="1:13" ht="15" customHeight="1" x14ac:dyDescent="0.25">
      <c r="A40" s="3"/>
      <c r="B40" s="28" t="s">
        <v>7</v>
      </c>
      <c r="C40" s="29">
        <v>22000</v>
      </c>
      <c r="D40" s="29"/>
      <c r="E40" s="3"/>
      <c r="F40" s="15" t="s">
        <v>11</v>
      </c>
      <c r="G40" s="16">
        <v>9000</v>
      </c>
      <c r="H40" s="16"/>
      <c r="I40" s="3"/>
      <c r="J40" s="3"/>
      <c r="K40" s="2"/>
      <c r="L40" s="3"/>
      <c r="M40" s="3"/>
    </row>
    <row r="41" spans="1:13" x14ac:dyDescent="0.25">
      <c r="A41" s="3"/>
      <c r="B41" s="30" t="s">
        <v>0</v>
      </c>
      <c r="C41" s="31" t="s">
        <v>3</v>
      </c>
      <c r="D41" s="31" t="s">
        <v>4</v>
      </c>
      <c r="E41" s="3"/>
      <c r="F41" s="17" t="s">
        <v>0</v>
      </c>
      <c r="G41" s="18" t="s">
        <v>3</v>
      </c>
      <c r="H41" s="18" t="s">
        <v>4</v>
      </c>
      <c r="I41" s="3"/>
      <c r="J41" s="7"/>
      <c r="K41" s="2"/>
      <c r="L41" s="3"/>
      <c r="M41" s="3"/>
    </row>
    <row r="42" spans="1:13" x14ac:dyDescent="0.25">
      <c r="A42" s="3"/>
      <c r="B42" s="32" t="s">
        <v>1</v>
      </c>
      <c r="C42" s="35">
        <v>0</v>
      </c>
      <c r="D42" s="29">
        <f>((C40/100)*C42)/(1000000/960000)*0.8</f>
        <v>0</v>
      </c>
      <c r="E42" s="3"/>
      <c r="F42" s="19" t="s">
        <v>1</v>
      </c>
      <c r="G42" s="24">
        <v>0</v>
      </c>
      <c r="H42" s="24">
        <f>((G40/100)*G42)/(580000/960000)*0.8</f>
        <v>0</v>
      </c>
      <c r="I42" s="3"/>
      <c r="J42" s="4"/>
      <c r="K42" s="5"/>
      <c r="L42" s="3"/>
      <c r="M42" s="3"/>
    </row>
    <row r="43" spans="1:13" ht="15" customHeight="1" x14ac:dyDescent="0.25">
      <c r="A43" s="3"/>
      <c r="B43" s="33" t="s">
        <v>27</v>
      </c>
      <c r="C43" s="34">
        <v>0</v>
      </c>
      <c r="D43" s="34">
        <f>((C40/100)*C43)/(1000000/497659)*0.8</f>
        <v>0</v>
      </c>
      <c r="F43" s="20" t="s">
        <v>27</v>
      </c>
      <c r="G43" s="21">
        <v>0</v>
      </c>
      <c r="H43" s="21">
        <f>((G40/100)*G43)/(580000/497659)*0.8</f>
        <v>0</v>
      </c>
      <c r="I43" s="3"/>
      <c r="J43" s="6"/>
      <c r="K43" s="2"/>
      <c r="L43" s="3"/>
      <c r="M43" s="3"/>
    </row>
    <row r="44" spans="1:13" ht="15.75" customHeight="1" x14ac:dyDescent="0.25">
      <c r="A44" s="3"/>
      <c r="B44" s="32" t="s">
        <v>16</v>
      </c>
      <c r="C44" s="35">
        <v>0</v>
      </c>
      <c r="D44" s="29">
        <f>((C40/100)*C44)/(1000000/571648)*0.8</f>
        <v>0</v>
      </c>
      <c r="E44" s="3"/>
      <c r="F44" s="19" t="s">
        <v>16</v>
      </c>
      <c r="G44" s="24">
        <v>0</v>
      </c>
      <c r="H44" s="24">
        <f>((G40/100)*G44)/(580000/571648)*0.8</f>
        <v>0</v>
      </c>
      <c r="I44" s="3"/>
      <c r="J44" s="3"/>
      <c r="K44" s="2"/>
      <c r="L44" s="3"/>
      <c r="M44" s="3"/>
    </row>
    <row r="45" spans="1:13" ht="15.75" customHeight="1" x14ac:dyDescent="0.25">
      <c r="A45" s="3"/>
      <c r="B45" s="32" t="s">
        <v>6</v>
      </c>
      <c r="C45" s="35">
        <v>0</v>
      </c>
      <c r="D45" s="29">
        <f>((C40/100)*C45)/(1000000/569447)*0.8</f>
        <v>0</v>
      </c>
      <c r="E45" s="3"/>
      <c r="F45" s="19" t="s">
        <v>6</v>
      </c>
      <c r="G45" s="24">
        <v>0</v>
      </c>
      <c r="H45" s="24">
        <f>((G40/100)*G45)/(580000/569447)*0.8</f>
        <v>0</v>
      </c>
      <c r="I45" s="3"/>
      <c r="J45" s="3"/>
      <c r="K45" s="2"/>
      <c r="L45" s="3"/>
      <c r="M45" s="3"/>
    </row>
    <row r="46" spans="1:13" ht="15.75" customHeight="1" x14ac:dyDescent="0.25">
      <c r="A46" s="3"/>
      <c r="B46" s="32" t="s">
        <v>5</v>
      </c>
      <c r="C46" s="35">
        <v>0</v>
      </c>
      <c r="D46" s="29">
        <f>((C40/100)*C46)/(1000000/569447)*0.8</f>
        <v>0</v>
      </c>
      <c r="E46" s="3"/>
      <c r="F46" s="19" t="s">
        <v>5</v>
      </c>
      <c r="G46" s="24">
        <v>0</v>
      </c>
      <c r="H46" s="24">
        <f>((G40/100)*G46)/(580000/569447)*0.8</f>
        <v>0</v>
      </c>
      <c r="I46" s="3"/>
      <c r="J46" s="3"/>
      <c r="K46" s="2"/>
      <c r="L46" s="3"/>
      <c r="M46" s="3"/>
    </row>
    <row r="47" spans="1:13" ht="15.75" customHeight="1" x14ac:dyDescent="0.25">
      <c r="A47" s="3"/>
      <c r="B47" s="32" t="s">
        <v>2</v>
      </c>
      <c r="C47" s="35">
        <v>0</v>
      </c>
      <c r="D47" s="29">
        <f>((C40/100)*C47)/(1000000/550000)*0.8</f>
        <v>0</v>
      </c>
      <c r="E47" s="3"/>
      <c r="F47" s="19" t="s">
        <v>2</v>
      </c>
      <c r="G47" s="24">
        <v>0</v>
      </c>
      <c r="H47" s="24">
        <f>((G40/100)*G47)/(580000/550000)*0.8</f>
        <v>0</v>
      </c>
      <c r="I47" s="3"/>
      <c r="J47" s="3"/>
      <c r="K47" s="2"/>
      <c r="L47" s="3"/>
      <c r="M47" s="3"/>
    </row>
    <row r="48" spans="1:13" ht="15.75" customHeight="1" x14ac:dyDescent="0.25">
      <c r="A48" s="3"/>
      <c r="B48" s="28" t="s">
        <v>33</v>
      </c>
      <c r="C48" s="29" t="str">
        <f>C42+C43+C44+C45+C46+C47&amp;"%"</f>
        <v>0%</v>
      </c>
      <c r="D48" s="29" t="str">
        <f>D42+D43+D44+D45+D46+D47&amp;"g"</f>
        <v>0g</v>
      </c>
      <c r="E48" s="3"/>
      <c r="F48" s="15" t="s">
        <v>33</v>
      </c>
      <c r="G48" s="16" t="str">
        <f>G42+G43+G44+G45+G46+G47&amp;"%"</f>
        <v>0%</v>
      </c>
      <c r="H48" s="16" t="str">
        <f>H42+H43+H44+H45+H46+H47&amp;"g"</f>
        <v>0g</v>
      </c>
      <c r="I48" s="3"/>
      <c r="J48" s="3"/>
      <c r="K48" s="2"/>
      <c r="L48" s="3"/>
      <c r="M48" s="3"/>
    </row>
    <row r="49" spans="1:13" ht="15.75" customHeight="1" x14ac:dyDescent="0.25">
      <c r="A49" s="3"/>
      <c r="B49" s="26"/>
      <c r="C49" s="27"/>
      <c r="D49" s="27"/>
      <c r="E49" s="3"/>
      <c r="F49" s="22"/>
      <c r="G49" s="23"/>
      <c r="H49" s="23"/>
      <c r="I49" s="3"/>
      <c r="J49" s="3"/>
      <c r="K49" s="2"/>
      <c r="L49" s="3"/>
      <c r="M49" s="3"/>
    </row>
    <row r="50" spans="1:13" ht="15.75" customHeight="1" x14ac:dyDescent="0.25">
      <c r="A50" s="3"/>
      <c r="B50" s="42" t="s">
        <v>18</v>
      </c>
      <c r="C50" s="43"/>
      <c r="D50" s="44"/>
      <c r="E50" s="3"/>
      <c r="F50" s="45" t="s">
        <v>18</v>
      </c>
      <c r="G50" s="46"/>
      <c r="H50" s="47"/>
      <c r="I50" s="3"/>
      <c r="J50" s="3"/>
      <c r="K50" s="2"/>
      <c r="L50" s="3"/>
      <c r="M50" s="3"/>
    </row>
    <row r="51" spans="1:13" ht="15.75" customHeight="1" x14ac:dyDescent="0.25">
      <c r="A51" s="3"/>
      <c r="B51" s="28" t="s">
        <v>7</v>
      </c>
      <c r="C51" s="29">
        <v>22000</v>
      </c>
      <c r="D51" s="29"/>
      <c r="E51" s="3"/>
      <c r="F51" s="15" t="s">
        <v>11</v>
      </c>
      <c r="G51" s="16">
        <v>9000</v>
      </c>
      <c r="H51" s="16"/>
      <c r="I51" s="3"/>
      <c r="J51" s="3"/>
      <c r="K51" s="2"/>
      <c r="L51" s="3"/>
      <c r="M51" s="3"/>
    </row>
    <row r="52" spans="1:13" ht="15.75" customHeight="1" x14ac:dyDescent="0.25">
      <c r="A52" s="3"/>
      <c r="B52" s="30" t="s">
        <v>0</v>
      </c>
      <c r="C52" s="31" t="s">
        <v>3</v>
      </c>
      <c r="D52" s="31" t="s">
        <v>4</v>
      </c>
      <c r="E52" s="3"/>
      <c r="F52" s="17" t="s">
        <v>0</v>
      </c>
      <c r="G52" s="18" t="s">
        <v>3</v>
      </c>
      <c r="H52" s="18" t="s">
        <v>4</v>
      </c>
      <c r="I52" s="3"/>
      <c r="J52" s="3"/>
      <c r="K52" s="2"/>
      <c r="L52" s="3"/>
      <c r="M52" s="3"/>
    </row>
    <row r="53" spans="1:13" ht="15.75" customHeight="1" x14ac:dyDescent="0.25">
      <c r="A53" s="3"/>
      <c r="B53" s="32" t="s">
        <v>5</v>
      </c>
      <c r="C53" s="29">
        <v>9.8519183419999994</v>
      </c>
      <c r="D53" s="29">
        <f>((C51/100)*C53)/(1000000/580000)*0.8</f>
        <v>1005.6838243513599</v>
      </c>
      <c r="E53" s="3"/>
      <c r="F53" s="19" t="s">
        <v>5</v>
      </c>
      <c r="G53" s="16">
        <v>9.8519183419999994</v>
      </c>
      <c r="H53" s="16">
        <f>((G51/100)*G53)/(580000/580000)*0.8</f>
        <v>709.338120624</v>
      </c>
      <c r="I53" s="3"/>
      <c r="J53" s="3"/>
      <c r="K53" s="2"/>
      <c r="L53" s="3"/>
      <c r="M53" s="3"/>
    </row>
    <row r="54" spans="1:13" ht="15.75" customHeight="1" x14ac:dyDescent="0.25">
      <c r="A54" s="3"/>
      <c r="B54" s="32" t="s">
        <v>2</v>
      </c>
      <c r="C54" s="29">
        <f>100-C53</f>
        <v>90.148081657999995</v>
      </c>
      <c r="D54" s="29">
        <f>((C51/100)*C54)/(1000000/550000)*0.8</f>
        <v>8726.3343044944013</v>
      </c>
      <c r="E54" s="3"/>
      <c r="F54" s="19" t="s">
        <v>2</v>
      </c>
      <c r="G54" s="16">
        <f>100-G53</f>
        <v>90.148081657999995</v>
      </c>
      <c r="H54" s="16">
        <f>((G51/100)*G54)/(580000/550000)*0.8</f>
        <v>6154.9379890634482</v>
      </c>
      <c r="I54" s="3"/>
      <c r="J54" s="3"/>
      <c r="K54" s="2"/>
      <c r="L54" s="3"/>
      <c r="M54" s="3"/>
    </row>
    <row r="55" spans="1:13" ht="15.75" customHeight="1" x14ac:dyDescent="0.25">
      <c r="A55" s="3"/>
      <c r="B55" s="28" t="s">
        <v>33</v>
      </c>
      <c r="C55" s="29" t="str">
        <f>C53+C54&amp;"%"</f>
        <v>100%</v>
      </c>
      <c r="D55" s="29" t="str">
        <f>D53+D54&amp;"g"</f>
        <v>9732.01812884576g</v>
      </c>
      <c r="E55" s="3"/>
      <c r="F55" s="15" t="s">
        <v>33</v>
      </c>
      <c r="G55" s="16" t="str">
        <f>G53+G54&amp;"%"</f>
        <v>100%</v>
      </c>
      <c r="H55" s="16" t="str">
        <f>H53+H54&amp;"g"</f>
        <v>6864.27610968745g</v>
      </c>
      <c r="I55" s="3"/>
      <c r="J55" s="3"/>
      <c r="K55" s="2"/>
      <c r="L55" s="3"/>
      <c r="M55" s="3"/>
    </row>
    <row r="56" spans="1:13" ht="15.75" customHeight="1" x14ac:dyDescent="0.25">
      <c r="A56" s="3"/>
      <c r="B56" s="26"/>
      <c r="C56" s="27"/>
      <c r="D56" s="27"/>
      <c r="E56" s="3"/>
      <c r="F56" s="22"/>
      <c r="G56" s="23"/>
      <c r="H56" s="23"/>
      <c r="I56" s="3"/>
      <c r="J56" s="3"/>
      <c r="K56" s="2"/>
      <c r="L56" s="3"/>
      <c r="M56" s="3"/>
    </row>
    <row r="57" spans="1:13" ht="15.75" customHeight="1" x14ac:dyDescent="0.25">
      <c r="A57" s="3"/>
      <c r="B57" s="42" t="s">
        <v>19</v>
      </c>
      <c r="C57" s="43"/>
      <c r="D57" s="44"/>
      <c r="E57" s="3"/>
      <c r="F57" s="45" t="s">
        <v>19</v>
      </c>
      <c r="G57" s="46"/>
      <c r="H57" s="47"/>
      <c r="I57" s="3"/>
      <c r="J57" s="3"/>
      <c r="K57" s="2"/>
      <c r="L57" s="3"/>
      <c r="M57" s="3"/>
    </row>
    <row r="58" spans="1:13" ht="15.75" customHeight="1" x14ac:dyDescent="0.25">
      <c r="A58" s="3"/>
      <c r="B58" s="28" t="s">
        <v>7</v>
      </c>
      <c r="C58" s="29">
        <v>22000</v>
      </c>
      <c r="D58" s="29"/>
      <c r="E58" s="3"/>
      <c r="F58" s="15" t="s">
        <v>11</v>
      </c>
      <c r="G58" s="16">
        <v>9000</v>
      </c>
      <c r="H58" s="16"/>
      <c r="I58" s="3"/>
      <c r="J58" s="3"/>
      <c r="K58" s="2"/>
      <c r="L58" s="3"/>
      <c r="M58" s="3"/>
    </row>
    <row r="59" spans="1:13" ht="15.75" customHeight="1" x14ac:dyDescent="0.25">
      <c r="A59" s="12"/>
      <c r="B59" s="30" t="s">
        <v>0</v>
      </c>
      <c r="C59" s="31" t="s">
        <v>3</v>
      </c>
      <c r="D59" s="31" t="s">
        <v>4</v>
      </c>
      <c r="E59" s="3"/>
      <c r="F59" s="17" t="s">
        <v>0</v>
      </c>
      <c r="G59" s="18" t="s">
        <v>3</v>
      </c>
      <c r="H59" s="18" t="s">
        <v>4</v>
      </c>
      <c r="I59" s="3"/>
      <c r="J59" s="3"/>
      <c r="K59" s="2"/>
      <c r="L59" s="3"/>
      <c r="M59" s="3"/>
    </row>
    <row r="60" spans="1:13" ht="15.75" customHeight="1" x14ac:dyDescent="0.25">
      <c r="A60" s="12"/>
      <c r="B60" s="32" t="s">
        <v>9</v>
      </c>
      <c r="C60" s="29">
        <v>2.7994833529999998</v>
      </c>
      <c r="D60" s="29">
        <f>((C58/100)*C60)/(1000000/314900)*0.8</f>
        <v>155.15408618330719</v>
      </c>
      <c r="E60" s="3"/>
      <c r="F60" s="19" t="s">
        <v>9</v>
      </c>
      <c r="G60" s="16">
        <v>2.7994833529999998</v>
      </c>
      <c r="H60" s="16">
        <f>((G58/100)*G60)/(580000/314900)*0.8</f>
        <v>109.43470028603173</v>
      </c>
      <c r="I60" s="3"/>
      <c r="J60" s="3"/>
      <c r="K60" s="48"/>
      <c r="L60" s="48"/>
      <c r="M60" s="48"/>
    </row>
    <row r="61" spans="1:13" ht="15.75" customHeight="1" x14ac:dyDescent="0.25">
      <c r="A61" s="12"/>
      <c r="B61" s="32" t="s">
        <v>5</v>
      </c>
      <c r="C61" s="29">
        <f>100-C60</f>
        <v>97.200516647000001</v>
      </c>
      <c r="D61" s="29">
        <f>((C58/100)*C61)/(1000000/580000)*0.8</f>
        <v>9922.2287393257629</v>
      </c>
      <c r="E61" s="3"/>
      <c r="F61" s="19" t="s">
        <v>5</v>
      </c>
      <c r="G61" s="16">
        <f>100-G60</f>
        <v>97.200516647000001</v>
      </c>
      <c r="H61" s="16">
        <f>((G58/100)*G61)/(580000/580000)*0.8</f>
        <v>6998.4371985840007</v>
      </c>
      <c r="I61" s="3"/>
      <c r="J61" s="3"/>
      <c r="K61" s="7"/>
      <c r="L61" s="2"/>
      <c r="M61" s="2"/>
    </row>
    <row r="62" spans="1:13" ht="15.75" customHeight="1" x14ac:dyDescent="0.25">
      <c r="A62" s="12"/>
      <c r="B62" s="28" t="s">
        <v>33</v>
      </c>
      <c r="C62" s="29" t="str">
        <f>C60+C61&amp;"%"</f>
        <v>100%</v>
      </c>
      <c r="D62" s="29" t="str">
        <f>D60+D61&amp;"g"</f>
        <v>10077.3828255091g</v>
      </c>
      <c r="E62" s="3"/>
      <c r="F62" s="15" t="s">
        <v>33</v>
      </c>
      <c r="G62" s="16" t="str">
        <f>G60+G61&amp;"%"</f>
        <v>100%</v>
      </c>
      <c r="H62" s="16" t="str">
        <f>H60+H61&amp;"g"</f>
        <v>7107.87189887003g</v>
      </c>
      <c r="I62" s="3"/>
      <c r="J62" s="3"/>
      <c r="K62" s="4"/>
      <c r="L62" s="5"/>
      <c r="M62" s="5"/>
    </row>
    <row r="63" spans="1:13" ht="15.75" customHeight="1" x14ac:dyDescent="0.25">
      <c r="A63" s="12"/>
      <c r="B63" s="26"/>
      <c r="C63" s="27"/>
      <c r="D63" s="27"/>
      <c r="E63" s="3"/>
      <c r="F63" s="22"/>
      <c r="G63" s="23"/>
      <c r="H63" s="23"/>
      <c r="I63" s="3"/>
      <c r="K63" s="6"/>
      <c r="L63" s="2"/>
      <c r="M63" s="2"/>
    </row>
    <row r="64" spans="1:13" ht="15.75" customHeight="1" x14ac:dyDescent="0.25">
      <c r="A64" s="12"/>
      <c r="B64" s="42" t="s">
        <v>20</v>
      </c>
      <c r="C64" s="43"/>
      <c r="D64" s="44"/>
      <c r="E64" s="3"/>
      <c r="F64" s="45" t="s">
        <v>20</v>
      </c>
      <c r="G64" s="46"/>
      <c r="H64" s="47"/>
      <c r="I64" s="3"/>
      <c r="K64" s="6"/>
      <c r="L64" s="2"/>
      <c r="M64" s="2"/>
    </row>
    <row r="65" spans="1:13" ht="15.75" customHeight="1" x14ac:dyDescent="0.25">
      <c r="A65" s="12"/>
      <c r="B65" s="28" t="s">
        <v>7</v>
      </c>
      <c r="C65" s="29">
        <v>22000</v>
      </c>
      <c r="D65" s="29"/>
      <c r="E65" s="3"/>
      <c r="F65" s="15" t="s">
        <v>11</v>
      </c>
      <c r="G65" s="16">
        <v>9000</v>
      </c>
      <c r="H65" s="16"/>
      <c r="I65" s="3"/>
      <c r="K65" s="7"/>
      <c r="L65" s="2"/>
      <c r="M65" s="2"/>
    </row>
    <row r="66" spans="1:13" ht="15.75" customHeight="1" x14ac:dyDescent="0.25">
      <c r="A66" s="12"/>
      <c r="B66" s="30" t="s">
        <v>0</v>
      </c>
      <c r="C66" s="31" t="s">
        <v>3</v>
      </c>
      <c r="D66" s="31" t="s">
        <v>4</v>
      </c>
      <c r="E66" s="3"/>
      <c r="F66" s="17" t="s">
        <v>0</v>
      </c>
      <c r="G66" s="18" t="s">
        <v>3</v>
      </c>
      <c r="H66" s="18" t="s">
        <v>4</v>
      </c>
      <c r="I66" s="3"/>
      <c r="K66"/>
      <c r="L66" s="1"/>
      <c r="M66" s="1"/>
    </row>
    <row r="67" spans="1:13" ht="15.75" customHeight="1" x14ac:dyDescent="0.25">
      <c r="A67" s="12"/>
      <c r="B67" s="32" t="s">
        <v>5</v>
      </c>
      <c r="C67" s="29">
        <v>12.787907611</v>
      </c>
      <c r="D67" s="29">
        <f>((C65/100)*C67)/(1000000/580000)*0.8</f>
        <v>1305.3896089308801</v>
      </c>
      <c r="E67" s="3"/>
      <c r="F67" s="19" t="s">
        <v>5</v>
      </c>
      <c r="G67" s="16">
        <v>12.787907611</v>
      </c>
      <c r="H67" s="16">
        <f>((G65/100)*G67)/(580000/580000)*0.8</f>
        <v>920.72934799199993</v>
      </c>
      <c r="I67" s="3"/>
      <c r="K67" s="48"/>
      <c r="L67" s="48"/>
      <c r="M67" s="48"/>
    </row>
    <row r="68" spans="1:13" ht="15.75" customHeight="1" x14ac:dyDescent="0.25">
      <c r="A68" s="12"/>
      <c r="B68" s="32" t="s">
        <v>2</v>
      </c>
      <c r="C68" s="29">
        <f>100-C67</f>
        <v>87.212092389000006</v>
      </c>
      <c r="D68" s="29">
        <f>((C65/100)*C68)/(1000000/550000)*0.8</f>
        <v>8442.1305432552017</v>
      </c>
      <c r="E68" s="3"/>
      <c r="F68" s="19" t="s">
        <v>2</v>
      </c>
      <c r="G68" s="16">
        <f>100-G67</f>
        <v>87.212092389000006</v>
      </c>
      <c r="H68" s="16">
        <f>((G65/100)*G68)/(580000/550000)*0.8</f>
        <v>5954.4807906972428</v>
      </c>
      <c r="I68" s="3"/>
      <c r="K68" s="7"/>
      <c r="L68" s="2"/>
      <c r="M68" s="2"/>
    </row>
    <row r="69" spans="1:13" ht="15.75" customHeight="1" x14ac:dyDescent="0.25">
      <c r="A69" s="12"/>
      <c r="B69" s="28" t="s">
        <v>33</v>
      </c>
      <c r="C69" s="29" t="str">
        <f>C67+C68&amp;"%"</f>
        <v>100%</v>
      </c>
      <c r="D69" s="29" t="str">
        <f>D67+D68&amp;"g"</f>
        <v>9747.52015218608g</v>
      </c>
      <c r="E69" s="3"/>
      <c r="F69" s="15" t="s">
        <v>33</v>
      </c>
      <c r="G69" s="16" t="str">
        <f>G67+G68&amp;"%"</f>
        <v>100%</v>
      </c>
      <c r="H69" s="16" t="str">
        <f>H67+H68&amp;"g"</f>
        <v>6875.21013868924g</v>
      </c>
      <c r="I69" s="3"/>
      <c r="K69" s="4"/>
      <c r="L69" s="5"/>
      <c r="M69" s="5"/>
    </row>
    <row r="70" spans="1:13" ht="15.75" customHeight="1" x14ac:dyDescent="0.25">
      <c r="A70" s="12"/>
      <c r="B70" s="26"/>
      <c r="C70" s="27"/>
      <c r="D70" s="27"/>
      <c r="E70" s="3"/>
      <c r="F70" s="22"/>
      <c r="G70" s="23"/>
      <c r="H70" s="23"/>
      <c r="I70" s="3"/>
      <c r="K70" s="6"/>
      <c r="L70" s="2"/>
      <c r="M70" s="2"/>
    </row>
    <row r="71" spans="1:13" ht="15.75" customHeight="1" x14ac:dyDescent="0.25">
      <c r="A71" s="12"/>
      <c r="B71" s="42" t="s">
        <v>21</v>
      </c>
      <c r="C71" s="43"/>
      <c r="D71" s="44"/>
      <c r="E71" s="3"/>
      <c r="F71" s="45" t="s">
        <v>21</v>
      </c>
      <c r="G71" s="46"/>
      <c r="H71" s="47"/>
      <c r="I71" s="3"/>
      <c r="K71" s="6"/>
      <c r="L71" s="2"/>
      <c r="M71" s="2"/>
    </row>
    <row r="72" spans="1:13" ht="15.75" customHeight="1" x14ac:dyDescent="0.25">
      <c r="A72" s="3"/>
      <c r="B72" s="28" t="s">
        <v>7</v>
      </c>
      <c r="C72" s="29">
        <v>22000</v>
      </c>
      <c r="D72" s="29"/>
      <c r="E72" s="3"/>
      <c r="F72" s="15" t="s">
        <v>11</v>
      </c>
      <c r="G72" s="16">
        <v>9000</v>
      </c>
      <c r="H72" s="16"/>
      <c r="I72" s="3"/>
      <c r="K72" s="7"/>
      <c r="L72" s="2"/>
      <c r="M72" s="2"/>
    </row>
    <row r="73" spans="1:13" ht="15.75" customHeight="1" x14ac:dyDescent="0.25">
      <c r="A73" s="3"/>
      <c r="B73" s="30" t="s">
        <v>0</v>
      </c>
      <c r="C73" s="31" t="s">
        <v>3</v>
      </c>
      <c r="D73" s="31" t="s">
        <v>4</v>
      </c>
      <c r="E73" s="3"/>
      <c r="F73" s="17" t="s">
        <v>0</v>
      </c>
      <c r="G73" s="18" t="s">
        <v>3</v>
      </c>
      <c r="H73" s="18" t="s">
        <v>4</v>
      </c>
      <c r="I73" s="3"/>
      <c r="K73"/>
      <c r="L73" s="1"/>
      <c r="M73" s="1"/>
    </row>
    <row r="74" spans="1:13" ht="15.75" customHeight="1" x14ac:dyDescent="0.25">
      <c r="A74" s="3"/>
      <c r="B74" s="32" t="s">
        <v>5</v>
      </c>
      <c r="C74" s="29">
        <v>15.5023289</v>
      </c>
      <c r="D74" s="29">
        <f>((C72/100)*C74)/(1000000/580000)*0.8</f>
        <v>1582.4777341120002</v>
      </c>
      <c r="E74" s="3"/>
      <c r="F74" s="19" t="s">
        <v>5</v>
      </c>
      <c r="G74" s="16">
        <v>15.5023289</v>
      </c>
      <c r="H74" s="16">
        <f>((G72/100)*G74)/(580000/580000)*0.8</f>
        <v>1116.1676808</v>
      </c>
      <c r="I74" s="3"/>
      <c r="K74" s="48"/>
      <c r="L74" s="48"/>
      <c r="M74" s="48"/>
    </row>
    <row r="75" spans="1:13" ht="15.75" customHeight="1" x14ac:dyDescent="0.25">
      <c r="A75" s="3"/>
      <c r="B75" s="32" t="s">
        <v>2</v>
      </c>
      <c r="C75" s="29">
        <f>100-C74</f>
        <v>84.497671100000005</v>
      </c>
      <c r="D75" s="29">
        <f>((C72/100)*C75)/(1000000/550000)*0.8</f>
        <v>8179.3745624800013</v>
      </c>
      <c r="E75" s="3"/>
      <c r="F75" s="19" t="s">
        <v>2</v>
      </c>
      <c r="G75" s="16">
        <f>100-G74</f>
        <v>84.497671100000005</v>
      </c>
      <c r="H75" s="16">
        <f>((G72/100)*G75)/(580000/550000)*0.8</f>
        <v>5769.151337172415</v>
      </c>
      <c r="I75" s="3"/>
      <c r="K75" s="7"/>
      <c r="L75" s="2"/>
      <c r="M75" s="2"/>
    </row>
    <row r="76" spans="1:13" ht="15.75" customHeight="1" x14ac:dyDescent="0.25">
      <c r="A76" s="3"/>
      <c r="B76" s="28" t="s">
        <v>33</v>
      </c>
      <c r="C76" s="29" t="str">
        <f>C74+C75&amp;"%"</f>
        <v>100%</v>
      </c>
      <c r="D76" s="29" t="str">
        <f>D74+D75&amp;"g"</f>
        <v>9761.852296592g</v>
      </c>
      <c r="E76" s="3"/>
      <c r="F76" s="15" t="s">
        <v>33</v>
      </c>
      <c r="G76" s="16" t="str">
        <f>G74+G75&amp;"%"</f>
        <v>100%</v>
      </c>
      <c r="H76" s="16" t="str">
        <f>H74+H75&amp;"g"</f>
        <v>6885.31901797242g</v>
      </c>
      <c r="I76" s="3"/>
      <c r="K76" s="4"/>
      <c r="L76" s="5"/>
      <c r="M76" s="5"/>
    </row>
    <row r="77" spans="1:13" ht="15.75" customHeight="1" x14ac:dyDescent="0.25">
      <c r="A77" s="3"/>
      <c r="B77" s="26"/>
      <c r="C77" s="27"/>
      <c r="D77" s="27"/>
      <c r="E77" s="3"/>
      <c r="F77" s="22"/>
      <c r="G77" s="23"/>
      <c r="H77" s="23"/>
      <c r="I77" s="3"/>
      <c r="K77" s="6"/>
      <c r="L77" s="2"/>
      <c r="M77" s="2"/>
    </row>
    <row r="78" spans="1:13" ht="15.75" customHeight="1" x14ac:dyDescent="0.25">
      <c r="A78" s="3"/>
      <c r="B78" s="42" t="s">
        <v>22</v>
      </c>
      <c r="C78" s="43"/>
      <c r="D78" s="44"/>
      <c r="E78" s="3"/>
      <c r="F78" s="45" t="s">
        <v>22</v>
      </c>
      <c r="G78" s="46"/>
      <c r="H78" s="47"/>
      <c r="I78" s="3"/>
      <c r="K78" s="6"/>
      <c r="L78" s="2"/>
      <c r="M78" s="2"/>
    </row>
    <row r="79" spans="1:13" ht="15.75" customHeight="1" x14ac:dyDescent="0.25">
      <c r="A79" s="3"/>
      <c r="B79" s="28" t="s">
        <v>7</v>
      </c>
      <c r="C79" s="29">
        <v>22000</v>
      </c>
      <c r="D79" s="29"/>
      <c r="E79" s="3"/>
      <c r="F79" s="15" t="s">
        <v>11</v>
      </c>
      <c r="G79" s="16">
        <v>9000</v>
      </c>
      <c r="H79" s="16"/>
      <c r="I79" s="3"/>
      <c r="K79" s="7"/>
      <c r="L79" s="2"/>
      <c r="M79" s="2"/>
    </row>
    <row r="80" spans="1:13" ht="15.75" customHeight="1" x14ac:dyDescent="0.25">
      <c r="A80" s="3"/>
      <c r="B80" s="30" t="s">
        <v>0</v>
      </c>
      <c r="C80" s="31" t="s">
        <v>3</v>
      </c>
      <c r="D80" s="31" t="s">
        <v>4</v>
      </c>
      <c r="E80" s="3"/>
      <c r="F80" s="17" t="s">
        <v>0</v>
      </c>
      <c r="G80" s="18" t="s">
        <v>3</v>
      </c>
      <c r="H80" s="18" t="s">
        <v>4</v>
      </c>
      <c r="I80" s="3"/>
      <c r="K80"/>
      <c r="L80" s="1"/>
      <c r="M80" s="1"/>
    </row>
    <row r="81" spans="1:13" ht="15.75" customHeight="1" x14ac:dyDescent="0.25">
      <c r="A81" s="3"/>
      <c r="B81" s="32" t="s">
        <v>9</v>
      </c>
      <c r="C81" s="29">
        <v>3.1503296650000001</v>
      </c>
      <c r="D81" s="29">
        <f>((C79/100)*C81)/(1000000/314900)*0.8</f>
        <v>174.59883082549604</v>
      </c>
      <c r="E81" s="3"/>
      <c r="F81" s="19" t="s">
        <v>9</v>
      </c>
      <c r="G81" s="16">
        <v>3.1503296650000001</v>
      </c>
      <c r="H81" s="16">
        <f>((G79/100)*G81)/(580000/314900)*0.8</f>
        <v>123.14964556657242</v>
      </c>
      <c r="I81" s="3"/>
      <c r="K81" s="48"/>
      <c r="L81" s="48"/>
      <c r="M81" s="48"/>
    </row>
    <row r="82" spans="1:13" ht="15.75" customHeight="1" x14ac:dyDescent="0.25">
      <c r="A82" s="3"/>
      <c r="B82" s="32" t="s">
        <v>5</v>
      </c>
      <c r="C82" s="29">
        <f>100-C81</f>
        <v>96.849670334999999</v>
      </c>
      <c r="D82" s="29">
        <f>((C79/100)*C82)/(1000000/580000)*0.8</f>
        <v>9886.4143477968028</v>
      </c>
      <c r="E82" s="3"/>
      <c r="F82" s="19" t="s">
        <v>5</v>
      </c>
      <c r="G82" s="16">
        <f>100-G81</f>
        <v>96.849670334999999</v>
      </c>
      <c r="H82" s="16">
        <f>((G79/100)*G82)/(580000/580000)*0.8</f>
        <v>6973.1762641200003</v>
      </c>
      <c r="I82" s="3"/>
      <c r="K82" s="7"/>
      <c r="L82" s="2"/>
      <c r="M82" s="2"/>
    </row>
    <row r="83" spans="1:13" ht="15.75" customHeight="1" x14ac:dyDescent="0.25">
      <c r="A83" s="3"/>
      <c r="B83" s="28" t="s">
        <v>33</v>
      </c>
      <c r="C83" s="29" t="str">
        <f>C81+C82&amp;"%"</f>
        <v>100%</v>
      </c>
      <c r="D83" s="29" t="str">
        <f>D81+D82&amp;"g"</f>
        <v>10061.0131786223g</v>
      </c>
      <c r="E83" s="3"/>
      <c r="F83" s="15" t="s">
        <v>33</v>
      </c>
      <c r="G83" s="16" t="str">
        <f>G81+G82&amp;"%"</f>
        <v>100%</v>
      </c>
      <c r="H83" s="16" t="str">
        <f>H81+H82&amp;"g"</f>
        <v>7096.32590968657g</v>
      </c>
      <c r="I83" s="3"/>
      <c r="K83" s="4"/>
      <c r="L83" s="5"/>
      <c r="M83" s="5"/>
    </row>
    <row r="84" spans="1:13" ht="15.75" customHeight="1" x14ac:dyDescent="0.25">
      <c r="A84" s="3"/>
      <c r="B84" s="26"/>
      <c r="C84" s="27"/>
      <c r="D84" s="27"/>
      <c r="E84" s="3"/>
      <c r="F84" s="22"/>
      <c r="G84" s="23"/>
      <c r="H84" s="23"/>
      <c r="I84" s="3"/>
      <c r="K84" s="6"/>
      <c r="L84" s="2"/>
      <c r="M84" s="2"/>
    </row>
    <row r="85" spans="1:13" ht="15.75" customHeight="1" x14ac:dyDescent="0.25">
      <c r="A85" s="3"/>
      <c r="B85" s="42" t="s">
        <v>23</v>
      </c>
      <c r="C85" s="43"/>
      <c r="D85" s="44"/>
      <c r="E85" s="3"/>
      <c r="F85" s="45" t="s">
        <v>23</v>
      </c>
      <c r="G85" s="46"/>
      <c r="H85" s="47"/>
      <c r="I85" s="3"/>
      <c r="K85" s="6"/>
      <c r="L85" s="2"/>
      <c r="M85" s="2"/>
    </row>
    <row r="86" spans="1:13" ht="15.75" customHeight="1" x14ac:dyDescent="0.25">
      <c r="A86" s="3"/>
      <c r="B86" s="28" t="s">
        <v>7</v>
      </c>
      <c r="C86" s="29">
        <v>22000</v>
      </c>
      <c r="D86" s="29"/>
      <c r="E86" s="3"/>
      <c r="F86" s="15" t="s">
        <v>11</v>
      </c>
      <c r="G86" s="16">
        <v>9000</v>
      </c>
      <c r="H86" s="16"/>
      <c r="I86" s="3"/>
      <c r="K86" s="7"/>
      <c r="L86" s="2"/>
      <c r="M86" s="2"/>
    </row>
    <row r="87" spans="1:13" ht="15.75" customHeight="1" x14ac:dyDescent="0.25">
      <c r="A87" s="3"/>
      <c r="B87" s="30" t="s">
        <v>0</v>
      </c>
      <c r="C87" s="31" t="s">
        <v>3</v>
      </c>
      <c r="D87" s="31" t="s">
        <v>4</v>
      </c>
      <c r="E87" s="3"/>
      <c r="F87" s="17" t="s">
        <v>0</v>
      </c>
      <c r="G87" s="18" t="s">
        <v>3</v>
      </c>
      <c r="H87" s="18" t="s">
        <v>4</v>
      </c>
      <c r="I87" s="3"/>
    </row>
    <row r="88" spans="1:13" ht="15.75" customHeight="1" x14ac:dyDescent="0.25">
      <c r="B88" s="32" t="s">
        <v>9</v>
      </c>
      <c r="C88" s="29">
        <v>3.9808512060000001</v>
      </c>
      <c r="D88" s="29">
        <f>((C86/100)*C88)/(1000000/314900)*0.8</f>
        <v>220.62832787941443</v>
      </c>
      <c r="E88" s="3"/>
      <c r="F88" s="19" t="s">
        <v>9</v>
      </c>
      <c r="G88" s="16">
        <v>3.9808512060000001</v>
      </c>
      <c r="H88" s="16">
        <f>((G86/100)*G88)/(580000/314900)*0.8</f>
        <v>155.61559176447724</v>
      </c>
    </row>
    <row r="89" spans="1:13" ht="15.75" customHeight="1" x14ac:dyDescent="0.25">
      <c r="B89" s="32" t="s">
        <v>5</v>
      </c>
      <c r="C89" s="29">
        <f>100-C88</f>
        <v>96.019148794000003</v>
      </c>
      <c r="D89" s="29">
        <f>((C86/100)*C89)/(1000000/580000)*0.8</f>
        <v>9801.6347088915209</v>
      </c>
      <c r="E89" s="3"/>
      <c r="F89" s="19" t="s">
        <v>5</v>
      </c>
      <c r="G89" s="16">
        <f>100-G88</f>
        <v>96.019148794000003</v>
      </c>
      <c r="H89" s="16">
        <f>((G86/100)*G89)/(580000/580000)*0.8</f>
        <v>6913.3787131680001</v>
      </c>
    </row>
    <row r="90" spans="1:13" ht="15.75" customHeight="1" x14ac:dyDescent="0.25">
      <c r="B90" s="28" t="s">
        <v>33</v>
      </c>
      <c r="C90" s="29" t="str">
        <f>C88+C89&amp;"%"</f>
        <v>100%</v>
      </c>
      <c r="D90" s="29" t="str">
        <f>D88+D89&amp;"g"</f>
        <v>10022.2630367709g</v>
      </c>
      <c r="E90" s="3"/>
      <c r="F90" s="15" t="s">
        <v>33</v>
      </c>
      <c r="G90" s="16" t="str">
        <f>G88+G89&amp;"%"</f>
        <v>100%</v>
      </c>
      <c r="H90" s="16" t="str">
        <f>H88+H89&amp;"g"</f>
        <v>7068.99430493248g</v>
      </c>
    </row>
    <row r="91" spans="1:13" ht="15.75" customHeight="1" x14ac:dyDescent="0.25">
      <c r="B91" s="26"/>
      <c r="C91" s="27"/>
      <c r="D91" s="27"/>
      <c r="F91" s="22"/>
      <c r="G91" s="23"/>
      <c r="H91" s="23"/>
    </row>
    <row r="92" spans="1:13" ht="15.75" customHeight="1" x14ac:dyDescent="0.25">
      <c r="B92" s="42" t="s">
        <v>28</v>
      </c>
      <c r="C92" s="43"/>
      <c r="D92" s="44"/>
      <c r="E92" s="3"/>
      <c r="F92" s="45" t="s">
        <v>28</v>
      </c>
      <c r="G92" s="46"/>
      <c r="H92" s="47"/>
    </row>
    <row r="93" spans="1:13" ht="15.75" customHeight="1" x14ac:dyDescent="0.25">
      <c r="B93" s="28" t="s">
        <v>7</v>
      </c>
      <c r="C93" s="29">
        <v>22000</v>
      </c>
      <c r="D93" s="29"/>
      <c r="E93" s="3"/>
      <c r="F93" s="15" t="s">
        <v>11</v>
      </c>
      <c r="G93" s="16">
        <v>9000</v>
      </c>
      <c r="H93" s="16"/>
    </row>
    <row r="94" spans="1:13" ht="15.75" customHeight="1" x14ac:dyDescent="0.25">
      <c r="B94" s="30" t="s">
        <v>0</v>
      </c>
      <c r="C94" s="31" t="s">
        <v>3</v>
      </c>
      <c r="D94" s="31" t="s">
        <v>4</v>
      </c>
      <c r="E94" s="3"/>
      <c r="F94" s="17" t="s">
        <v>0</v>
      </c>
      <c r="G94" s="18" t="s">
        <v>3</v>
      </c>
      <c r="H94" s="18" t="s">
        <v>4</v>
      </c>
    </row>
    <row r="95" spans="1:13" ht="15.75" customHeight="1" x14ac:dyDescent="0.25">
      <c r="B95" s="32" t="s">
        <v>9</v>
      </c>
      <c r="C95" s="29">
        <v>3.5064413299999999</v>
      </c>
      <c r="D95" s="29">
        <f>((C93/100)*C95)/(1000000/314900)*0.8</f>
        <v>194.33539396779202</v>
      </c>
      <c r="E95" s="3"/>
      <c r="F95" s="19" t="s">
        <v>9</v>
      </c>
      <c r="G95" s="16">
        <v>3.5064413299999999</v>
      </c>
      <c r="H95" s="16">
        <f>((G93/100)*G95)/(580000/314900)*0.8</f>
        <v>137.07041894280002</v>
      </c>
    </row>
    <row r="96" spans="1:13" ht="15.75" customHeight="1" x14ac:dyDescent="0.25">
      <c r="B96" s="32" t="s">
        <v>17</v>
      </c>
      <c r="C96" s="29">
        <f>100-C95</f>
        <v>96.493558669999999</v>
      </c>
      <c r="D96" s="29">
        <f>((C93/100)*C96)/(1000000/504300)*0.8</f>
        <v>8564.4594881614557</v>
      </c>
      <c r="E96" s="3"/>
      <c r="F96" s="19" t="s">
        <v>17</v>
      </c>
      <c r="G96" s="16">
        <f>100-G95</f>
        <v>96.493558669999999</v>
      </c>
      <c r="H96" s="16">
        <f>((G93/100)*G96)/(580000/504300)*0.8</f>
        <v>6040.7629618693663</v>
      </c>
    </row>
    <row r="97" spans="2:9" ht="15.75" customHeight="1" x14ac:dyDescent="0.25">
      <c r="B97" s="28" t="s">
        <v>33</v>
      </c>
      <c r="C97" s="29" t="str">
        <f>C95+C96&amp;"%"</f>
        <v>100%</v>
      </c>
      <c r="D97" s="29" t="str">
        <f>D95+D96&amp;"g"</f>
        <v>8758.79488212925g</v>
      </c>
      <c r="E97" s="3"/>
      <c r="F97" s="15" t="s">
        <v>33</v>
      </c>
      <c r="G97" s="16" t="str">
        <f>G95+G96&amp;"%"</f>
        <v>100%</v>
      </c>
      <c r="H97" s="16" t="str">
        <f>H95+H96&amp;"g"</f>
        <v>6177.83338081217g</v>
      </c>
    </row>
    <row r="98" spans="2:9" ht="15.75" customHeight="1" x14ac:dyDescent="0.25"/>
    <row r="99" spans="2:9" ht="15.75" customHeight="1" x14ac:dyDescent="0.25">
      <c r="B99" s="7" t="s">
        <v>29</v>
      </c>
      <c r="C99" s="2"/>
      <c r="D99" s="2"/>
      <c r="E99" s="3"/>
      <c r="F99" s="37"/>
      <c r="G99" s="38"/>
      <c r="I99" s="1"/>
    </row>
    <row r="100" spans="2:9" ht="15.75" customHeight="1" x14ac:dyDescent="0.25">
      <c r="B100" s="8" t="s">
        <v>34</v>
      </c>
      <c r="C100" s="2"/>
      <c r="D100" s="2"/>
      <c r="E100" s="3"/>
      <c r="F100" s="37"/>
      <c r="G100" s="38"/>
      <c r="I100" s="1"/>
    </row>
    <row r="101" spans="2:9" ht="15.75" customHeight="1" x14ac:dyDescent="0.25">
      <c r="B101" t="s">
        <v>13</v>
      </c>
      <c r="I101" s="1"/>
    </row>
    <row r="102" spans="2:9" ht="15.75" customHeight="1" x14ac:dyDescent="0.25">
      <c r="B102" t="s">
        <v>15</v>
      </c>
      <c r="I102" s="1"/>
    </row>
    <row r="103" spans="2:9" ht="15.75" customHeight="1" x14ac:dyDescent="0.25">
      <c r="B103" t="s">
        <v>14</v>
      </c>
      <c r="I103" s="1"/>
    </row>
    <row r="104" spans="2:9" ht="15.75" customHeight="1" x14ac:dyDescent="0.25"/>
    <row r="105" spans="2:9" ht="15.75" customHeight="1" x14ac:dyDescent="0.25">
      <c r="B105" s="11" t="s">
        <v>24</v>
      </c>
    </row>
    <row r="106" spans="2:9" ht="15.75" customHeight="1" x14ac:dyDescent="0.25">
      <c r="B106" s="9" t="s">
        <v>25</v>
      </c>
    </row>
    <row r="107" spans="2:9" ht="15.75" customHeight="1" x14ac:dyDescent="0.25">
      <c r="B107" s="10" t="s">
        <v>26</v>
      </c>
    </row>
    <row r="108" spans="2:9" ht="15.75" customHeight="1" x14ac:dyDescent="0.25">
      <c r="B108" s="10" t="s">
        <v>35</v>
      </c>
    </row>
    <row r="109" spans="2:9" ht="15.75" customHeight="1" x14ac:dyDescent="0.25">
      <c r="B109" s="10" t="s">
        <v>36</v>
      </c>
    </row>
    <row r="110" spans="2:9" ht="15.75" customHeight="1" x14ac:dyDescent="0.25">
      <c r="B110" s="10"/>
    </row>
    <row r="111" spans="2:9" ht="15.75" customHeight="1" x14ac:dyDescent="0.25"/>
    <row r="112" spans="2:9" ht="15.75" customHeight="1" x14ac:dyDescent="0.25"/>
    <row r="113" spans="5:5" ht="15.75" customHeight="1" x14ac:dyDescent="0.25"/>
    <row r="114" spans="5:5" ht="15.75" customHeight="1" x14ac:dyDescent="0.25"/>
    <row r="115" spans="5:5" ht="15.75" customHeight="1" x14ac:dyDescent="0.25"/>
    <row r="116" spans="5:5" ht="15.75" customHeight="1" x14ac:dyDescent="0.25"/>
    <row r="117" spans="5:5" ht="15.75" customHeight="1" x14ac:dyDescent="0.25"/>
    <row r="118" spans="5:5" ht="15.75" customHeight="1" x14ac:dyDescent="0.25"/>
    <row r="119" spans="5:5" ht="15.75" customHeight="1" x14ac:dyDescent="0.25">
      <c r="E119" s="3"/>
    </row>
    <row r="120" spans="5:5" ht="15.75" customHeight="1" x14ac:dyDescent="0.25"/>
    <row r="121" spans="5:5" ht="15.75" customHeight="1" x14ac:dyDescent="0.25"/>
    <row r="122" spans="5:5" ht="15.75" customHeight="1" x14ac:dyDescent="0.25"/>
    <row r="123" spans="5:5" ht="15.75" customHeight="1" x14ac:dyDescent="0.25"/>
    <row r="124" spans="5:5" ht="15.75" customHeight="1" x14ac:dyDescent="0.25"/>
    <row r="125" spans="5:5" ht="15.75" customHeight="1" x14ac:dyDescent="0.25"/>
    <row r="126" spans="5:5" ht="15.75" customHeight="1" x14ac:dyDescent="0.25"/>
    <row r="127" spans="5:5" ht="15.75" customHeight="1" x14ac:dyDescent="0.25"/>
    <row r="128" spans="5:5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spans="2:2" ht="15.75" customHeight="1" x14ac:dyDescent="0.25"/>
    <row r="146" spans="2:2" ht="15.75" customHeight="1" x14ac:dyDescent="0.25"/>
    <row r="147" spans="2:2" ht="15.75" customHeight="1" x14ac:dyDescent="0.25"/>
    <row r="148" spans="2:2" ht="15.75" customHeight="1" x14ac:dyDescent="0.25"/>
    <row r="149" spans="2:2" ht="15.75" customHeight="1" x14ac:dyDescent="0.25"/>
    <row r="150" spans="2:2" ht="15.75" customHeight="1" x14ac:dyDescent="0.25"/>
    <row r="151" spans="2:2" ht="15.75" customHeight="1" x14ac:dyDescent="0.25"/>
    <row r="152" spans="2:2" ht="15.75" customHeight="1" x14ac:dyDescent="0.25"/>
    <row r="153" spans="2:2" ht="15.75" customHeight="1" x14ac:dyDescent="0.25"/>
    <row r="154" spans="2:2" ht="15.75" customHeight="1" x14ac:dyDescent="0.25">
      <c r="B154" s="8" t="s">
        <v>12</v>
      </c>
    </row>
    <row r="155" spans="2:2" ht="15.75" customHeight="1" x14ac:dyDescent="0.25">
      <c r="B155" t="s">
        <v>13</v>
      </c>
    </row>
    <row r="156" spans="2:2" ht="15.75" customHeight="1" x14ac:dyDescent="0.25">
      <c r="B156" t="s">
        <v>15</v>
      </c>
    </row>
    <row r="157" spans="2:2" ht="15.75" customHeight="1" x14ac:dyDescent="0.25">
      <c r="B157" t="s">
        <v>14</v>
      </c>
    </row>
    <row r="158" spans="2:2" ht="15.75" customHeight="1" x14ac:dyDescent="0.25"/>
    <row r="159" spans="2:2" ht="15.75" customHeight="1" x14ac:dyDescent="0.25"/>
    <row r="160" spans="2:2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  <row r="1012" ht="15.75" customHeight="1" x14ac:dyDescent="0.25"/>
    <row r="1013" ht="15.75" customHeight="1" x14ac:dyDescent="0.25"/>
  </sheetData>
  <mergeCells count="29">
    <mergeCell ref="J1:K1"/>
    <mergeCell ref="F1:H1"/>
    <mergeCell ref="B1:D1"/>
    <mergeCell ref="B18:D18"/>
    <mergeCell ref="K60:M60"/>
    <mergeCell ref="B57:D57"/>
    <mergeCell ref="F50:H50"/>
    <mergeCell ref="B50:D50"/>
    <mergeCell ref="F57:H57"/>
    <mergeCell ref="F18:H18"/>
    <mergeCell ref="B28:D28"/>
    <mergeCell ref="F28:H28"/>
    <mergeCell ref="F39:H39"/>
    <mergeCell ref="B39:D39"/>
    <mergeCell ref="F3:H3"/>
    <mergeCell ref="B3:D3"/>
    <mergeCell ref="F64:H64"/>
    <mergeCell ref="B64:D64"/>
    <mergeCell ref="B71:D71"/>
    <mergeCell ref="F71:H71"/>
    <mergeCell ref="K67:M67"/>
    <mergeCell ref="B85:D85"/>
    <mergeCell ref="F85:H85"/>
    <mergeCell ref="F92:H92"/>
    <mergeCell ref="B92:D92"/>
    <mergeCell ref="K74:M74"/>
    <mergeCell ref="K81:M81"/>
    <mergeCell ref="F78:H78"/>
    <mergeCell ref="B78:D78"/>
  </mergeCells>
  <hyperlinks>
    <hyperlink ref="B154" r:id="rId1" xr:uid="{75912E64-E878-4ACE-8770-BC9FCEBF9604}"/>
    <hyperlink ref="B100" r:id="rId2" xr:uid="{4A9CCC32-6F64-473C-BA4A-9C065A4B9B6D}"/>
  </hyperlinks>
  <pageMargins left="0.7" right="0.7" top="0.75" bottom="0.75" header="0" footer="0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Gardiner</cp:lastModifiedBy>
  <dcterms:created xsi:type="dcterms:W3CDTF">2006-09-16T00:00:00Z</dcterms:created>
  <dcterms:modified xsi:type="dcterms:W3CDTF">2025-11-03T10:25:36Z</dcterms:modified>
</cp:coreProperties>
</file>