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s\Refrigeration research\Capillary &amp; TXV sizing\"/>
    </mc:Choice>
  </mc:AlternateContent>
  <xr:revisionPtr revIDLastSave="0" documentId="13_ncr:1_{C96CD3C9-126B-4974-A74C-D879CA7E86D9}" xr6:coauthVersionLast="47" xr6:coauthVersionMax="47" xr10:uidLastSave="{00000000-0000-0000-0000-000000000000}"/>
  <bookViews>
    <workbookView xWindow="46815" yWindow="300" windowWidth="20055" windowHeight="141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T8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V14" i="1" l="1"/>
  <c r="V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Y314" i="1"/>
  <c r="Y301" i="1"/>
  <c r="Y311" i="1"/>
  <c r="V15" i="1" l="1"/>
  <c r="V13" i="1"/>
  <c r="V12" i="1"/>
  <c r="V10" i="1"/>
  <c r="V9" i="1"/>
  <c r="V8" i="1"/>
  <c r="V16" i="1"/>
  <c r="T14" i="1"/>
  <c r="S14" i="1"/>
  <c r="R14" i="1"/>
  <c r="Q14" i="1"/>
  <c r="P14" i="1"/>
  <c r="C9" i="1"/>
  <c r="C14" i="1"/>
  <c r="D14" i="1"/>
  <c r="E14" i="1"/>
  <c r="F14" i="1"/>
  <c r="O14" i="1"/>
  <c r="N14" i="1"/>
  <c r="M14" i="1"/>
  <c r="L14" i="1"/>
  <c r="K14" i="1"/>
  <c r="J14" i="1"/>
  <c r="I14" i="1"/>
  <c r="H14" i="1"/>
  <c r="G14" i="1"/>
  <c r="C8" i="1"/>
  <c r="C10" i="1"/>
  <c r="C12" i="1"/>
  <c r="C13" i="1"/>
  <c r="C15" i="1"/>
  <c r="C16" i="1"/>
  <c r="Q324" i="1"/>
  <c r="Y298" i="1" l="1"/>
  <c r="Y312" i="1"/>
  <c r="Y313" i="1"/>
  <c r="Y315" i="1"/>
  <c r="Y316" i="1"/>
  <c r="Y318" i="1"/>
  <c r="Y319" i="1"/>
  <c r="Y299" i="1"/>
  <c r="Y300" i="1"/>
  <c r="Y302" i="1"/>
  <c r="Y303" i="1"/>
  <c r="Y304" i="1"/>
  <c r="Y305" i="1"/>
  <c r="Y306" i="1"/>
  <c r="K261" i="1"/>
  <c r="J261" i="1"/>
  <c r="H261" i="1"/>
  <c r="G261" i="1"/>
  <c r="F261" i="1"/>
  <c r="E261" i="1"/>
  <c r="D261" i="1"/>
</calcChain>
</file>

<file path=xl/sharedStrings.xml><?xml version="1.0" encoding="utf-8"?>
<sst xmlns="http://schemas.openxmlformats.org/spreadsheetml/2006/main" count="213" uniqueCount="91">
  <si>
    <t>Refrigerant</t>
  </si>
  <si>
    <t>Watts</t>
  </si>
  <si>
    <t>R600A</t>
  </si>
  <si>
    <t>R507</t>
  </si>
  <si>
    <t>R404A</t>
  </si>
  <si>
    <t>R407C</t>
  </si>
  <si>
    <t>R22</t>
  </si>
  <si>
    <t>R290</t>
  </si>
  <si>
    <t>R1234YF</t>
  </si>
  <si>
    <t>R134A</t>
  </si>
  <si>
    <t>Flow rate L/m</t>
  </si>
  <si>
    <t>Invalid range, -15°C - 10°C required</t>
  </si>
  <si>
    <t>Figures based on evaporating temperature -40, condensing temperature 50, return gas temperature 32</t>
  </si>
  <si>
    <t>Evaporating temperature -15°C</t>
  </si>
  <si>
    <t>Evaporating temperature -25°C</t>
  </si>
  <si>
    <t>Evaporating temperature -30°C</t>
  </si>
  <si>
    <t>Evaporating temperature -40°C</t>
  </si>
  <si>
    <t>1234YF</t>
  </si>
  <si>
    <t>Invalid</t>
  </si>
  <si>
    <t>Invalid range, -35°C - 15°C required</t>
  </si>
  <si>
    <t>Flow rates (L/min) @ 10Kw:</t>
  </si>
  <si>
    <t>Extrapolated formulas:</t>
  </si>
  <si>
    <t>Refrigerant:</t>
  </si>
  <si>
    <t>Flow rate (L/min):</t>
  </si>
  <si>
    <t>Enter evaporating temperature:</t>
  </si>
  <si>
    <t>Enter:</t>
  </si>
  <si>
    <t>Evaporating temperature</t>
  </si>
  <si>
    <t>Wattage</t>
  </si>
  <si>
    <t>R600A:</t>
  </si>
  <si>
    <t>Polynomial, quadratic regression, 2nd order polynomial</t>
  </si>
  <si>
    <t>y = 318.6327 - 0.1065385*x + 0.019*x^2</t>
  </si>
  <si>
    <t>y = 1125.7 - 2.186667*x + 0.05733333*x^2</t>
  </si>
  <si>
    <t>y = 733.9 - 2.78*x + 0.02*x^2</t>
  </si>
  <si>
    <t>y = 410.3 + 0.1*x + 0.04*x^2</t>
  </si>
  <si>
    <t>Enter wattage (Kw):</t>
  </si>
  <si>
    <t>Flow rate:</t>
  </si>
  <si>
    <t>y = -6299.89 + 36440.61*x - 82768.52*x^2 + 92376.69*x^3 - 50731.16*x^4 + 24232.03*x^5</t>
  </si>
  <si>
    <t>y = 6133.931 - 36911.32*x + 87287.3*x^2 - 101415.9*x^3 + 57934.83*x^4 - 775.8807*x^5</t>
  </si>
  <si>
    <t>y = -5149.379 + 30915.5*x - 73073.59*x^2 + 84950.94*x^3 - 48575.76*x^4 + 16371.76*x^5</t>
  </si>
  <si>
    <t>y = 2850.441 - 16828.21*x + 38813.38*x^2 - 43759.71*x^3 + 24148.87*x^4 + 65652.12*x^5</t>
  </si>
  <si>
    <t>y = -2702.317 + 15731.84*x - 35865.55*x^2 + 40071.94*x^3 - 21978.72*x^4 + 47510.33*x^5</t>
  </si>
  <si>
    <t>y = 4326.217 - 26822.06*x + 65092.01*x^2 - 77381.15*x^3 + 45139.41*x^4 + 19905.52*x^5</t>
  </si>
  <si>
    <t>y = -1164.307 + 5799.282*x - 11329.14*x^2 + 10903.18*x^3 - 5196.634*x^4 + 21755.22*x^5</t>
  </si>
  <si>
    <t>y = 11429.35 - 66071.18*x + 150430.1*x^2 - 168765.8*x^3 + 93395.45*x^4 - 7487.241*x^5</t>
  </si>
  <si>
    <t>Capillary size:</t>
  </si>
  <si>
    <t>y = 332333400*x^-2.001721</t>
  </si>
  <si>
    <t>Nonlinear, Power curve</t>
  </si>
  <si>
    <t>y = 279984400*x^-1.98156</t>
  </si>
  <si>
    <t>y = 133576300*x^-1.997213</t>
  </si>
  <si>
    <t>y = 1738450000*x^-1.996867</t>
  </si>
  <si>
    <t>y = 1049419000*x^-1.99696</t>
  </si>
  <si>
    <t>y = 487632700*x^-1.906152</t>
  </si>
  <si>
    <t>y = 87480040*x^-1.613877</t>
  </si>
  <si>
    <t>y = 317370900*x^-1.997057</t>
  </si>
  <si>
    <t>Flow rate % difference from base -15°C:</t>
  </si>
  <si>
    <t>y = 129.8762 + 2.570304*x + 0.03857069*x^2</t>
  </si>
  <si>
    <t>y = 100.9427 - 0.05694906*x - 0.007978448*x^2</t>
  </si>
  <si>
    <t>y = 113.4142 + 0.9172406*x + 0.001530556*x^2</t>
  </si>
  <si>
    <t>Where -15°C = 100% and lower numbers are less.</t>
  </si>
  <si>
    <t>y = 109.3865 + 0.566642*x - 0.003941858*x^2</t>
  </si>
  <si>
    <t>y = 105.0656 + 0.2289621*x - 0.007219671*x^2</t>
  </si>
  <si>
    <t>y = 106.5418 + 0.2815766*x - 0.01024244*x^2</t>
  </si>
  <si>
    <t>Wattage (Kw):</t>
  </si>
  <si>
    <t>Results (mm):</t>
  </si>
  <si>
    <t>Custom:</t>
  </si>
  <si>
    <t>Calculate capillary size:</t>
  </si>
  <si>
    <t>Capillary sizing related to Wattage, based on -15°C evaporating temperature and 1.2mm capillary:</t>
  </si>
  <si>
    <t>Wattage multiplier:</t>
  </si>
  <si>
    <t>Where 100W = 100%, 1Kw = 1%</t>
  </si>
  <si>
    <t>Result:</t>
  </si>
  <si>
    <t>R513A</t>
  </si>
  <si>
    <t>y = 714.8442 - 2.638846*x - 0.009*x^2</t>
  </si>
  <si>
    <t>y = 740.7 + 5.943333*x + 0.06333333*x^2</t>
  </si>
  <si>
    <t>y = 421713800*x^-2.000419</t>
  </si>
  <si>
    <t>Percentage offset of capillary sizing based on 1.2mm capillary, 100W, and base evaporator temperature of -15°C:</t>
  </si>
  <si>
    <t>Capillary sizing (Based on 100W @ -15°C):</t>
  </si>
  <si>
    <t>y = 5027.188 - 28469.49*x + 63587.57*x^2 - 70043.22*x^3 + 38058.48*x^4 + 8751.674*x^5</t>
  </si>
  <si>
    <t>Polynomial, quintic regression, 5th order polynomial</t>
  </si>
  <si>
    <t>y = 110.215 + 0.743372*x + 0.004145182*x^2</t>
  </si>
  <si>
    <t>y = 78.16584 - 1.664687*x - 0.01393839*x^2</t>
  </si>
  <si>
    <t>Info &amp; Disclaimer:</t>
  </si>
  <si>
    <t>www.hydrocarbonconspiracy.info</t>
  </si>
  <si>
    <t>Facebook: "Hydrocarbon Conspiracy"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</si>
  <si>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</si>
  <si>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</si>
  <si>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</si>
  <si>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Based on Secop Database 2.2 from Secop Capillary Tube Selector software</t>
  </si>
  <si>
    <t>Not endorsed by Secop.</t>
  </si>
  <si>
    <t>Condensing temperature: 50°C, Return gas temperature: 32°C</t>
  </si>
  <si>
    <t>Results contain extrapolated data based on math formula constants derived from available data.</t>
  </si>
  <si>
    <t>More refrigerants will be added in, once the correlation between the refrigerant and the capillary size / flow rate is established. This tool is intended to help generate custom capillary tubes for the given refrigerants.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</si>
</sst>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1"/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24"/>
  <sheetViews>
    <sheetView tabSelected="1" zoomScale="70" zoomScaleNormal="70" workbookViewId="0">
      <selection activeCell="I29" sqref="I29"/>
    </sheetView>
  </sheetViews>
  <sheetFormatPr defaultRowHeight="15" x14ac:dyDescent="0.25"/>
  <cols>
    <col min="1" max="1" width="6.140625" customWidth="1"/>
    <col min="2" max="2" width="11.85546875" customWidth="1"/>
    <col min="3" max="19" width="8.42578125" customWidth="1"/>
    <col min="20" max="20" width="13.42578125" customWidth="1"/>
    <col min="25" max="25" width="15" customWidth="1"/>
  </cols>
  <sheetData>
    <row r="2" spans="1:24" x14ac:dyDescent="0.25">
      <c r="A2" s="5" t="s">
        <v>65</v>
      </c>
      <c r="B2" s="5"/>
      <c r="C2" s="5"/>
      <c r="D2" s="5"/>
      <c r="F2" s="4" t="s">
        <v>86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24" x14ac:dyDescent="0.25">
      <c r="A3" s="4" t="s">
        <v>62</v>
      </c>
      <c r="B3" s="4"/>
      <c r="C3" s="4"/>
      <c r="D3">
        <v>1</v>
      </c>
      <c r="F3" s="4" t="s">
        <v>88</v>
      </c>
      <c r="G3" s="4"/>
      <c r="H3" s="4"/>
      <c r="I3" s="4"/>
      <c r="J3" s="4"/>
      <c r="K3" s="4"/>
      <c r="L3" s="4"/>
      <c r="M3" s="4"/>
      <c r="N3" s="4"/>
      <c r="O3" s="4"/>
      <c r="P3" s="4"/>
    </row>
    <row r="4" spans="1:24" x14ac:dyDescent="0.25">
      <c r="A4" s="4" t="s">
        <v>26</v>
      </c>
      <c r="B4" s="4"/>
      <c r="C4" s="4"/>
      <c r="D4">
        <v>-30</v>
      </c>
      <c r="F4" s="4" t="s">
        <v>89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24" x14ac:dyDescent="0.25">
      <c r="C5" s="4"/>
      <c r="D5" s="4"/>
    </row>
    <row r="6" spans="1:24" x14ac:dyDescent="0.25">
      <c r="C6" s="6" t="s">
        <v>44</v>
      </c>
      <c r="D6" s="6"/>
      <c r="T6" s="1" t="s">
        <v>64</v>
      </c>
      <c r="V6" s="6" t="s">
        <v>23</v>
      </c>
      <c r="W6" s="6"/>
      <c r="X6" s="6"/>
    </row>
    <row r="7" spans="1:24" x14ac:dyDescent="0.25">
      <c r="A7" s="6" t="s">
        <v>63</v>
      </c>
      <c r="B7" s="6"/>
      <c r="C7">
        <v>0.6</v>
      </c>
      <c r="D7">
        <v>0.63</v>
      </c>
      <c r="E7">
        <v>0.7</v>
      </c>
      <c r="F7">
        <v>0.71</v>
      </c>
      <c r="G7">
        <v>0.8</v>
      </c>
      <c r="H7">
        <v>0.9</v>
      </c>
      <c r="I7">
        <v>1</v>
      </c>
      <c r="J7">
        <v>1.1200000000000001</v>
      </c>
      <c r="K7">
        <v>1.2</v>
      </c>
      <c r="L7">
        <v>1.25</v>
      </c>
      <c r="M7">
        <v>1.4</v>
      </c>
      <c r="N7">
        <v>1.5</v>
      </c>
      <c r="O7">
        <v>1.6</v>
      </c>
      <c r="P7">
        <v>1.8</v>
      </c>
      <c r="Q7">
        <v>2</v>
      </c>
      <c r="R7">
        <v>2.2000000000000002</v>
      </c>
      <c r="S7">
        <v>2.5</v>
      </c>
      <c r="T7">
        <v>1.0101010100000001</v>
      </c>
    </row>
    <row r="8" spans="1:24" x14ac:dyDescent="0.25">
      <c r="A8" s="4" t="s">
        <v>28</v>
      </c>
      <c r="B8" s="4"/>
      <c r="C8">
        <f>(-6299.89+36440.61*C7-82768.52*(C7^2)+92376.69*(C7^3)-50731.16*(C7^4)+24232.03*(C7^5))*(1000000*((D3*1000)^-2)/100)*((110.4337+0.7653422*D4+0.004650693*(D4^2))/100)</f>
        <v>9.4472821825414783</v>
      </c>
      <c r="D8">
        <f>(-6299.89+36440.61*D7-82768.52*(D7^2)+92376.69*(D7^3)-50731.16*(D7^4)+24232.03*(D7^5))*(1000000*((D3*1000)^-2)/100)*((110.4337+0.7653422*D4+0.004650693*(D4^2))/100)</f>
        <v>12.086147537956032</v>
      </c>
      <c r="E8">
        <f>(-6299.89+36440.61*E7-82768.52*(E7^2)+92376.69*(E7^3)-50731.16*(E7^4)+24232.03*(E7^5))*(1000000*((D3*1000)^-2)/100)*((110.4337+0.7653422*D4+0.004650693*(D4^2))/100)</f>
        <v>20.433486236247482</v>
      </c>
      <c r="F8">
        <f>(-6299.89+36440.61*F7-82768.52*(F7^2)+92376.69*(F7^3)-50731.16*(F7^4)+24232.03*(F7^5))*(1000000*((D3*1000)^-2)/100)*((110.4337+0.7653422*D4+0.004650693*(D4^2))/100)</f>
        <v>21.927954685524636</v>
      </c>
      <c r="G8">
        <f>(-6299.89+36440.61*G7-82768.52*(G7^2)+92376.69*(G7^3)-50731.16*(G7^4)+24232.03*(G7^5))*(1000000*((D3*1000)^-2)/100)*((110.4337+0.7653422*D4+0.004650693*(D4^2))/100)</f>
        <v>39.76608909784035</v>
      </c>
      <c r="H8">
        <f>(-6299.89+36440.61*H7-82768.52*(H7^2)+92376.69*(H7^3)-50731.16*(H7^4)+24232.03*(H7^5))*(1000000*((D3*1000)^-2)/100)*((110.4337+0.7653422*D4+0.004650693*(D4^2))/100)</f>
        <v>71.684918675594872</v>
      </c>
      <c r="I8">
        <f>(-6299.89+36440.61*I7-82768.52*(I7^2)+92376.69*(I7^3)-50731.16*(I7^4)+24232.03*(I7^5))*(1000000*((D3*1000)^-2)/100)*((110.4337+0.7653422*D4+0.004650693*(D4^2))/100)</f>
        <v>121.44605163511514</v>
      </c>
      <c r="J8">
        <f>(-6299.89+36440.61*J7-82768.52*(J7^2)+92376.69*(J7^3)-50731.16*(J7^4)+24232.03*(J7^5))*(1000000*((D3*1000)^-2)/100)*((110.4337+0.7653422*D4+0.004650693*(D4^2))/100)</f>
        <v>214.02402954269721</v>
      </c>
      <c r="K8">
        <f>(-6299.89+36440.61*K7-82768.52*(K7^2)+92376.69*(K7^3)-50731.16*(K7^4)+24232.03*(K7^5))*(1000000*((D3*1000)^-2)/100)*((110.4337+0.7653422*D4+0.004650693*(D4^2))/100)</f>
        <v>302.19995937440319</v>
      </c>
      <c r="L8">
        <f>(-6299.89+36440.61*L7-82768.52*(L7^2)+92376.69*(L7^3)-50731.16*(L7^4)+24232.03*(L7^5))*(1000000*((D3*1000)^-2)/100)*((110.4337+0.7653422*D4+0.004650693*(D4^2))/100)</f>
        <v>370.69854582602522</v>
      </c>
      <c r="M8">
        <f>(-6299.89+36440.61*M7-82768.52*(M7^2)+92376.69*(M7^3)-50731.16*(M7^4)+24232.03*(M7^5))*(1000000*((D3*1000)^-2)/100)*((110.4337+0.7653422*D4+0.004650693*(D4^2))/100)</f>
        <v>654.52954855108646</v>
      </c>
      <c r="N8">
        <f>(-6299.89+36440.61*N7-82768.52*(N7^2)+92376.69*(N7^3)-50731.16*(N7^4)+24232.03*(N7^5))*(1000000*((D3*1000)^-2)/100)*((110.4337+0.7653422*D4+0.004650693*(D4^2))/100)</f>
        <v>926.56916921205982</v>
      </c>
      <c r="O8">
        <f>(-6299.89+36440.61*O7-82768.52*(O7^2)+92376.69*(O7^3)-50731.16*(O7^4)+24232.03*(O7^5))*(1000000*((D3*1000)^-2)/100)*((110.4337+0.7653422*D4+0.004650693*(D4^2))/100)</f>
        <v>1284.2544685939727</v>
      </c>
      <c r="P8">
        <f>(-6299.89+36440.61*P7-82768.52*(P7^2)+92376.69*(P7^3)-50731.16*(P7^4)+24232.03*(P7^5))*(1000000*((D3*1000)^-2)/100)*((110.4337+0.7653422*D4+0.004650693*(D4^2))/100)</f>
        <v>2339.0412486633686</v>
      </c>
      <c r="Q8">
        <f>(-6299.89+36440.61*Q7-82768.52*(Q7^2)+92376.69*(Q7^3)-50731.16*(Q7^4)+24232.03*(Q7^5))*(1000000*((D3*1000)^-2)/100)*((110.4337+0.7653422*D4+0.004650693*(D4^2))/100)</f>
        <v>4016.9322641891699</v>
      </c>
      <c r="R8">
        <f>(-6299.89+36440.61*R7-82768.52*(R7^2)+92376.69*(R7^3)-50731.16*(R7^4)+24232.03*(R7^5))*(1000000*((D3*1000)^-2)/100)*((110.4337+0.7653422*D4+0.004650693*(D4^2))/100)</f>
        <v>6574.8747034089301</v>
      </c>
      <c r="S8">
        <f>(-6299.89+36440.61*S7-82768.52*(S7^2)+92376.69*(S7^3)-50731.16*(S7^4)+24232.03*(S7^5))*(1000000*((D3*1000)^-2)/100)*((110.4337+0.7653422*D4+0.004650693*(D4^2))/100)</f>
        <v>12792.005997652024</v>
      </c>
      <c r="T8">
        <f>(-6299.89+36440.61*T7-82768.52*(T7^2)+92376.69*(T7^3)-50731.16*(T7^4)+24232.03*(T7^5))*(1000000*((D3*1000)^-2)/100)*((110.4337+0.7653422*D4+0.004650693*(D4^2))/100)</f>
        <v>127.70654849727059</v>
      </c>
      <c r="V8">
        <f>((714.7-2.653333*D4-0.009333333*(D4^2))/10000)*(D3*1000)</f>
        <v>78.589999030000001</v>
      </c>
    </row>
    <row r="9" spans="1:24" x14ac:dyDescent="0.25">
      <c r="A9" s="4" t="s">
        <v>9</v>
      </c>
      <c r="B9" s="4"/>
      <c r="C9">
        <f>(6133.931-36911.32*C7+87287.3*(C7^2)-101415.9*(C7^3)+57934.83*(C7^4)-775.8807*(C7^5))*(1000000*((D3*1000)^-2)/100)*((113.4142+0.9172406*D4+0.001530556*(D4^2))/100)</f>
        <v>8.3151119602613139</v>
      </c>
      <c r="D9">
        <f>(6133.931-36911.32*D7+87287.3*(D7^2)-101415.9*(D7^3)+57934.83*(D7^4)-775.8807*(D7^5))*(1000000*((D3*1000)^-2)/100)*((113.4142+0.9172406*D4+0.001530556*(D4^2))/100)</f>
        <v>10.602428451797744</v>
      </c>
      <c r="E9">
        <f>(6133.931-36911.32*E7+87287.3*(E7^2)-101415.9*(E7^3)+57934.83*(E7^4)-775.8807*(E7^5))*(1000000*((D3*1000)^-2)/100)*((113.4142+0.9172406*D4+0.001530556*(D4^2))/100)</f>
        <v>17.986229758076149</v>
      </c>
      <c r="F9">
        <f>(6133.931-36911.32*F7+87287.3*(F7^2)-101415.9*(F7^3)+57934.83*(F7^4)-775.8807*(F7^5))*(1000000*((D3*1000)^-2)/100)*((113.4142+0.9172406*D4+0.001530556*(D4^2))/100)</f>
        <v>19.311949617357147</v>
      </c>
      <c r="G9">
        <f>(6133.931-36911.32*G7+87287.3*(G7^2)-101415.9*(G7^3)+57934.83*(G7^4)-775.8807*(G7^5))*(1000000*((D3*1000)^-2)/100)*((113.4142+0.9172406*D4+0.001530556*(D4^2))/100)</f>
        <v>35.081479149183352</v>
      </c>
      <c r="H9">
        <f>(6133.931-36911.32*H7+87287.3*(H7^2)-101415.9*(H7^3)+57934.83*(H7^4)-775.8807*(H7^5))*(1000000*((D3*1000)^-2)/100)*((113.4142+0.9172406*D4+0.001530556*(D4^2))/100)</f>
        <v>63.161913719708657</v>
      </c>
      <c r="I9">
        <f>(6133.931-36911.32*I7+87287.3*(I7^2)-101415.9*(I7^3)+57934.83*(I7^4)-775.8807*(I7^5))*(1000000*((D3*1000)^-2)/100)*((113.4142+0.9172406*D4+0.001530556*(D4^2))/100)</f>
        <v>106.937076805025</v>
      </c>
      <c r="J9">
        <f>(6133.931-36911.32*J7+87287.3*(J7^2)-101415.9*(J7^3)+57934.83*(J7^4)-775.8807*(J7^5))*(1000000*((D3*1000)^-2)/100)*((113.4142+0.9172406*D4+0.001530556*(D4^2))/100)</f>
        <v>188.50078477468435</v>
      </c>
      <c r="K9">
        <f>(6133.931-36911.32*K7+87287.3*(K7^2)-101415.9*(K7^3)+57934.83*(K7^4)-775.8807*(K7^5))*(1000000*((D3*1000)^-2)/100)*((113.4142+0.9172406*D4+0.001530556*(D4^2))/100)</f>
        <v>266.10345610547807</v>
      </c>
      <c r="L9">
        <f>(6133.931-36911.32*L7+87287.3*(L7^2)-101415.9*(L7^3)+57934.83*(L7^4)-775.8807*(L7^5))*(1000000*((D3*1000)^-2)/100)*((113.4142+0.9172406*D4+0.001530556*(D4^2))/100)</f>
        <v>326.21380651973124</v>
      </c>
      <c r="M9">
        <f>(6133.931-36911.32*M7+87287.3*(M7^2)-101415.9*(M7^3)+57934.83*(M7^4)-775.8807*(M7^5))*(1000000*((D3*1000)^-2)/100)*((113.4142+0.9172406*D4+0.001530556*(D4^2))/100)</f>
        <v>572.91798020403814</v>
      </c>
      <c r="N9">
        <f>(6133.931-36911.32*N7+87287.3*(N7^2)-101415.9*(N7^3)+57934.83*(N7^4)-775.8807*(N7^5))*(1000000*((D3*1000)^-2)/100)*((113.4142+0.9172406*D4+0.001530556*(D4^2))/100)</f>
        <v>805.43827459096997</v>
      </c>
      <c r="O9">
        <f>(6133.931-36911.32*O7+87287.3*(O7^2)-101415.9*(O7^3)+57934.83*(O7^4)-775.8807*(O7^5))*(1000000*((D3*1000)^-2)/100)*((113.4142+0.9172406*D4+0.001530556*(D4^2))/100)</f>
        <v>1105.5738002178566</v>
      </c>
      <c r="P9">
        <f>(6133.931-36911.32*P7+87287.3*(P7^2)-101415.9*(P7^3)+57934.83*(P7^4)-775.8807*(P7^5))*(1000000*((D3*1000)^-2)/100)*((113.4142+0.9172406*D4+0.001530556*(D4^2))/100)</f>
        <v>1959.8598312155916</v>
      </c>
      <c r="Q9">
        <f>(6133.931-36911.32*Q7+87287.3*(Q7^2)-101415.9*(Q7^3)+57934.83*(Q7^4)-775.8807*(Q7^5))*(1000000*((D3*1000)^-2)/100)*((113.4142+0.9172406*D4+0.001530556*(D4^2))/100)</f>
        <v>3248.9007282052671</v>
      </c>
      <c r="R9">
        <f>(6133.931-36911.32*R7+87287.3*(R7^2)-101415.9*(R7^3)+57934.83*(R7^4)-775.8807*(R7^5))*(1000000*((D3*1000)^-2)/100)*((113.4142+0.9172406*D4+0.001530556*(D4^2))/100)</f>
        <v>5102.8968621221211</v>
      </c>
      <c r="S9">
        <f>(6133.931-36911.32*S7+87287.3*(S7^2)-101415.9*(S7^3)+57934.83*(S7^4)-775.8807*(S7^5))*(1000000*((D3*1000)^-2)/100)*((113.4142+0.9172406*D4+0.001530556*(D4^2))/100)</f>
        <v>9269.3138201946767</v>
      </c>
      <c r="T9">
        <f>(6133.931-36911.32*T7+87287.3*(T7^2)-101415.9*(T7^3)+57934.83*(T7^4)-775.8807*(T7^5))*(1000000*((D3*1000)^-2)/100)*((113.4142+0.9172406*D4+0.001530556*(D4^2))/100)</f>
        <v>112.44941842373359</v>
      </c>
      <c r="V9">
        <f>((733.9-2.78*D4+0.02*(D4^2))/10000)*(D3*1000)</f>
        <v>83.529999999999987</v>
      </c>
    </row>
    <row r="10" spans="1:24" x14ac:dyDescent="0.25">
      <c r="A10" s="4" t="s">
        <v>17</v>
      </c>
      <c r="B10" s="4"/>
      <c r="C10">
        <f>(-5149.379+30915.5*C7-73073.59*(C7^2)+84950.94*(C7^3)-48575.76*(C7^4)+16371.76*(C7^5))*(1000000*((D3*1000)^-2)/100)*((109.3865+0.566642*D4-0.003941858*(D4^2))/100)</f>
        <v>3.7355368218168676</v>
      </c>
      <c r="D10">
        <f>(-5149.379+30915.5*D7-73073.59*(D7^2)+84950.94*(D7^3)-48575.76*(D7^4)+16371.76*(D7^5))*(1000000*((D3*1000)^-2)/100)*((109.3865+0.566642*D3-0.003941858*(D4^2))/100)</f>
        <v>5.7339628964732432</v>
      </c>
      <c r="E10">
        <f>(-5149.379+30915.5*E7-73073.59*(E7^2)+84950.94*(E7^3)-48575.76*(E7^4)+16371.76*(E7^5))*(1000000*((D3*1000)^-2)/100)*((109.3865+0.566642*D3-0.003941858*(D4^2))/100)</f>
        <v>9.7057328678529462</v>
      </c>
      <c r="F10">
        <f>(-5149.379+30915.5*F7-73073.59*(F7^2)+84950.94*(F7^3)-48575.76*(F7^4)+16371.76*(F7^5))*(1000000*((D3*1000)^-2)/100)*((109.3865+0.566642*D3-0.003941858*(D4^2))/100)</f>
        <v>10.417403907196842</v>
      </c>
      <c r="G10">
        <f>(-5149.379+30915.5*G7-73073.59*(G7^2)+84950.94*(G7^3)-48575.76*(G7^4)+16371.76*(G7^5))*(1000000*((D3*1000)^-2)/100)*((109.3865+0.566642*D3-0.003941858*(D4^2))/100)</f>
        <v>18.92816790375484</v>
      </c>
      <c r="H10">
        <f>(-5149.379+30915.5*H7-73073.59*(H7^2)+84950.94*(H7^3)-48575.76*(H7^4)+16371.76*(H7^5))*(1000000*((D3*1000)^-2)/100)*((109.3865+0.566642*D3-0.003941858*(D4^2))/100)</f>
        <v>34.166826001600093</v>
      </c>
      <c r="I10">
        <f>(-5149.379+30915.5*I7-73073.59*(I7^2)+84950.94*(I7^3)-48575.76*(I7^4)+16371.76*(I7^5))*(1000000*((D3*1000)^-2)/100)*((109.3865+0.566642*D3-0.003941858*(D4^2))/100)</f>
        <v>57.878946721847619</v>
      </c>
      <c r="J10">
        <f>(-5149.379+30915.5*J7-73073.59*(J7^2)+84950.94*(J7^3)-48575.76*(J7^4)+16371.76*(J7^5))*(1000000*((D3*1000)^-2)/100)*((109.3865+0.566642*D3-0.003941858*(D4^2))/100)</f>
        <v>101.93814494953824</v>
      </c>
      <c r="K10">
        <f>(-5149.379+30915.5*K7-73073.59*(K7^2)+84950.94*(K7^3)-48575.76*(K7^4)+16371.76*(K7^5))*(1000000*((D3*1000)^-2)/100)*((109.3865+0.566642*D3-0.003941858*(D4^2))/100)</f>
        <v>143.96614976963107</v>
      </c>
      <c r="L10">
        <f>(-5149.379+30915.5*L7-73073.59*(L7^2)+84950.94*(L7^3)-48575.76*(L7^4)+16371.76*(L7^5))*(1000000*((D3*1000)^-2)/100)*((109.3865+0.566642*D3-0.003941858*(D4^2))/100)</f>
        <v>176.70542212052172</v>
      </c>
      <c r="M10">
        <f>(-5149.379+30915.5*M7-73073.59*(M7^2)+84950.94*(M7^3)-48575.76*(M7^4)+16371.76*(M7^5))*(1000000*((D3*1000)^-2)/100)*((109.3865+0.566642*D3-0.003941858*(D4^2))/100)</f>
        <v>313.42879081170366</v>
      </c>
      <c r="N10">
        <f>(-5149.379+30915.5*N7-73073.59*(N7^2)+84950.94*(N7^3)-48575.76*(N7^4)+16371.76*(N7^5))*(1000000*((D3*1000)^-2)/100)*((109.3865+0.566642*D3-0.003941858*(D4^2))/100)</f>
        <v>446.11539711445505</v>
      </c>
      <c r="O10">
        <f>(-5149.379+30915.5*O7-73073.59*(O7^2)+84950.94*(O7^3)-48575.76*(O7^4)+16371.76*(O7^5))*(1000000*((D3*1000)^-2)/100)*((109.3865+0.566642*D3-0.003941858*(D4^2))/100)</f>
        <v>622.79468612847154</v>
      </c>
      <c r="P10">
        <f>(-5149.379+30915.5*P7-73073.59*(P7^2)+84950.94*(P7^3)-48575.76*(P7^4)+16371.76*(P7^5))*(1000000*((D3*1000)^-2)/100)*((109.3865+0.566642*D3-0.003941858*(D4^2))/100)</f>
        <v>1155.5699066028819</v>
      </c>
      <c r="Q10">
        <f>(-5149.379+30915.5*Q7-73073.59*(Q7^2)+84950.94*(Q7^3)-48575.76*(Q7^4)+16371.76*(Q7^5))*(1000000*((D3*1000)^-2)/100)*((109.3865+0.566642*D3-0.003941858*(D4^2))/100)</f>
        <v>2028.9282298071482</v>
      </c>
      <c r="R10">
        <f>(-5149.379+30915.5*R7-73073.59*(R7^2)+84950.94*(R7^3)-48575.76*(R7^4)+16371.76*(R7^5))*(1000000*((D3*1000)^-2)/100)*((109.3865+0.566642*D3-0.003941858*(D4^2))/100)</f>
        <v>3400.4005920894933</v>
      </c>
      <c r="S10">
        <f>(-5149.379+30915.5*S7-73073.59*(S7^2)+84950.94*(S7^3)-48575.76*(S7^4)+16371.76*(S7^5))*(1000000*((D3*1000)^-2)/100)*((109.3865+0.566642*D3-0.003941858*(D4^2))/100)</f>
        <v>6853.5968833155875</v>
      </c>
      <c r="T10">
        <f>(-5149.379+30915.5*T7-73073.59*(T7^2)+84950.94*(T7^3)-48575.76*(T7^4)+16371.76*(T7^5))*(1000000*((D3*1000)^-2)/100)*((109.3865+0.566642*D3-0.003941858*(D4^2))/100)</f>
        <v>60.859198694918469</v>
      </c>
      <c r="V10">
        <f>((1125.7-2.186667*D4+0.05733333*(D4^2))/10000)*(D3*1000)</f>
        <v>124.29000069999999</v>
      </c>
    </row>
    <row r="11" spans="1:24" x14ac:dyDescent="0.25">
      <c r="A11" s="4" t="s">
        <v>70</v>
      </c>
      <c r="B11" s="4"/>
      <c r="C11">
        <f>(5027.188-28469.49*C7+63587.57*(C7^2)-70043.22*(C7^3)+38058.48*(C7^4)+8751.674*(C7^5))*(1000000*((D3*1000)^-2.000419)/100)*((78.16584-1.664687*D4-0.01393839*(D4^2))/100)</f>
        <v>15.216914981162409</v>
      </c>
      <c r="D11">
        <f>(5027.188-28469.49*D7+63587.57*(D7^2)-70043.22*(D7^3)+38058.48*(D7^4)+8751.674*(D7^5))*(1000000*((D3*1000)^-2.000419)/100)*((78.16584-1.664687*D4-0.01393839*(D4^2))/100)</f>
        <v>19.347968663106379</v>
      </c>
      <c r="E11">
        <f>(5027.188-28469.49*E7+63587.57*(E7^2)-70043.22*(E7^3)+38058.48*(E7^4)+8751.674*(E7^5))*(1000000*((D3*1000)^-2.000419)/100)*((78.16584-1.664687*D4-0.01393839*(D4^2))/100)</f>
        <v>32.72892811094151</v>
      </c>
      <c r="F11">
        <f>(5027.188-28469.49*F7+63587.57*(F7^2)-70043.22*(F7^3)+38058.48*(F7^4)+8751.674*(F7^5))*(1000000*((D3*1000)^-2.000419)/100)*((78.16584-1.664687*D4-0.01393839*(D4^2))/100)</f>
        <v>35.13768368838663</v>
      </c>
      <c r="G11">
        <f>(5027.188-28469.49*G7+63587.57*(G7^2)-70043.22*(G7^3)+38058.48*(G7^4)+8751.674*(G7^5))*(1000000*((D3*1000)^-2.000419)/100)*((78.16584-1.664687*D4-0.01393839*(D4^2))/100)</f>
        <v>63.859468059090638</v>
      </c>
      <c r="H11">
        <f>(5027.188-28469.49*H7+63587.57*(H7^2)-70043.22*(H7^3)+38058.48*(H7^4)+8751.674*(H7^5))*(1000000*((D3*1000)^-2.000419)/100)*((78.16584-1.664687*D4-0.01393839*(D4^2))/100)</f>
        <v>115.0782944715273</v>
      </c>
      <c r="I11">
        <f>(5027.188-28469.49*I7+63587.57*(I7^2)-70043.22*(I7^3)+38058.48*(I7^4)+8751.674*(I7^5))*(1000000*((D3*1000)^-2.000419)/100)*((78.16584-1.664687*D4-0.01393839*(D4^2))/100)</f>
        <v>194.87576233088686</v>
      </c>
      <c r="J11">
        <f>(5027.188-28469.49*J7+63587.57*(J7^2)-70043.22*(J7^3)+38058.48*(J7^4)+8751.674*(J7^5))*(1000000*((D3*1000)^-2.000419)/100)*((78.16584-1.664687*D4-0.01393839*(D4^2))/100)</f>
        <v>343.48425942918567</v>
      </c>
      <c r="K11">
        <f>(5027.188-28469.49*K7+63587.57*(K7^2)-70043.22*(K7^3)+38058.48*(K7^4)+8751.674*(K7^5))*(1000000*((D3*1000)^-2.000419)/100)*((78.16584-1.664687*D4-0.01393839*(D4^2))/100)</f>
        <v>484.99709369456247</v>
      </c>
      <c r="L11">
        <f>(5027.188-28469.49*L7+63587.57*(L7^2)-70043.22*(L7^3)+38058.48*(L7^4)+8751.674*(L7^5))*(1000000*((D3*1000)^-2.000419)/100)*((78.16584-1.664687*D4-0.01393839*(D4^2))/100)</f>
        <v>594.7711913604312</v>
      </c>
      <c r="M11">
        <f>(5027.188-28469.49*M7+63587.57*(M7^2)-70043.22*(M7^3)+38058.48*(M7^4)+8751.674*(M7^5))*(1000000*((D3*1000)^-2.000419)/100)*((78.16584-1.664687*D4-0.01393839*(D4^2))/100)</f>
        <v>1047.156681782604</v>
      </c>
      <c r="N11">
        <f>(5027.188-28469.49*N7+63587.57*(N7^2)-70043.22*(N7^3)+38058.48*(N7^4)+8751.674*(N7^5))*(1000000*((D3*1000)^-2.000419)/100)*((78.16584-1.664687*D4-0.01393839*(D4^2))/100)</f>
        <v>1476.3943897852689</v>
      </c>
      <c r="O11">
        <f>(5027.188-28469.49*O7+63587.57*(O7^2)-70043.22*(O7^3)+38058.48*(O7^4)+8751.674*(O7^5))*(1000000*((D3*1000)^-2.000419)/100)*((78.16584-1.664687*D4-0.01393839*(D4^2))/100)</f>
        <v>2034.3620683089807</v>
      </c>
      <c r="P11">
        <f>(5027.188-28469.49*P7+63587.57*(P7^2)-70043.22*(P7^3)+38058.48*(P7^4)+8751.674*(P7^5))*(1000000*((D3*1000)^-2.000419)/100)*((78.16584-1.664687*D4-0.01393839*(D4^2))/100)</f>
        <v>3643.5675154161358</v>
      </c>
      <c r="Q11">
        <f>(5027.188-28469.49*Q7+63587.57*(Q7^2)-70043.22*(Q7^3)+38058.48*(Q7^4)+8751.674*(Q7^5))*(1000000*((D3*1000)^-2.000419)/100)*((78.16584-1.664687*D4-0.01393839*(D4^2))/100)</f>
        <v>6119.5464040220058</v>
      </c>
      <c r="R11">
        <f>(5027.188-28469.49*R7+63587.57*(R7^2)-70043.22*(R7^3)+38058.48*(R7^4)+8751.674*(R7^5))*(1000000*((D3*1000)^-2.000419)/100)*((78.16584-1.664687*D4-0.01393839*(D4^2))/100)</f>
        <v>9758.7636321670179</v>
      </c>
      <c r="S11">
        <f>(5027.188-28469.49*S7+63587.57*(S7^2)-70043.22*(S7^3)+38058.48*(S7^4)+8751.674*(S7^5))*(1000000*((D3*1000)^-2.000419)/100)*((78.16584-1.664687*D4-0.01393839*(D4^2))/100)</f>
        <v>18184.870621740243</v>
      </c>
      <c r="T11">
        <f>(5027.188-28469.49*T7+63587.57*(T7^2)-70043.22*(T7^3)+38058.48*(T7^4)+8751.674*(T7^5))*(1000000*((D3*1000)^-2.000419)/100)*((78.16584-1.664687*D4-0.01393839*(D4^2))/100)</f>
        <v>204.91991559345783</v>
      </c>
      <c r="V11">
        <f>((740.7+5.943333*D4+0.06333333*(D4^2))/10000)*(D3*1000)</f>
        <v>61.940000700000006</v>
      </c>
    </row>
    <row r="12" spans="1:24" x14ac:dyDescent="0.25">
      <c r="A12" s="4" t="s">
        <v>7</v>
      </c>
      <c r="B12" s="4"/>
      <c r="C12">
        <f>(2850.441-16828.21*C7+38813.38*(C7^2)-43759.71*(C7^3)+24148.87*(C7^4)+65652.12*(C7^5))*(1000000*((D3*1000)^-2)/100)*((105.0656+0.2289621*D4-0.007219671*(D4^2))/100)</f>
        <v>50.517335183371621</v>
      </c>
      <c r="D12">
        <f>(2850.441-16828.21*D7+38813.38*(D7^2)-43759.71*(D7^3)+24148.87*(D7^4)+65652.12*(D7^5))*(1000000*((D3*1000)^-2)/100)*((105.0656+0.2289621*D3-0.007219671*(D4^2))/100)</f>
        <v>69.468352757584185</v>
      </c>
      <c r="E12">
        <f>(2850.441-16828.21*E7+38813.38*(E7^2)-43759.71*(E7^3)+24148.87*(E7^4)+65652.12*(E7^5))*(1000000*((D3*1000)^-2)/100)*((105.0656+0.2289621*D3-0.007219671*(D4^2))/100)</f>
        <v>117.68647333293626</v>
      </c>
      <c r="F12">
        <f>(2850.441-16828.21*F7+38813.38*(F7^2)-43759.71*(F7^3)+24148.87*(F7^4)+65652.12*(F7^5))*(1000000*((D3*1000)^-2)/100)*((105.0656+0.2289621*D3-0.007219671*(D4^2))/100)</f>
        <v>126.34080169969967</v>
      </c>
      <c r="G12">
        <f>(2850.441-16828.21*G7+38813.38*(G7^2)-43759.71*(G7^3)+24148.87*(G7^4)+65652.12*(G7^5))*(1000000*((D3*1000)^-2)/100)*((105.0656+0.2289621*D3-0.007219671*(D4^2))/100)</f>
        <v>229.48266002662373</v>
      </c>
      <c r="H12">
        <f>(2850.441-16828.21*H7+38813.38*(H7^2)-43759.71*(H7^3)+24148.87*(H7^4)+65652.12*(H7^5))*(1000000*((D3*1000)^-2)/100)*((105.0656+0.2289621*D3-0.007219671*(D4^2))/100)</f>
        <v>413.5049152322552</v>
      </c>
      <c r="I12">
        <f>(2850.441-16828.21*I7+38813.38*(I7^2)-43759.71*(I7^3)+24148.87*(I7^4)+65652.12*(I7^5))*(1000000*((D3*1000)^-2)/100)*((105.0656+0.2289621*D3-0.007219671*(D4^2))/100)</f>
        <v>700.24141497838559</v>
      </c>
      <c r="J12">
        <f>(2850.441-16828.21*J7+38813.38*(J7^2)-43759.71*(J7^3)+24148.87*(J7^4)+65652.12*(J7^5))*(1000000*((D3*1000)^-2)/100)*((105.0656+0.2289621*D3-0.007219671*(D4^2))/100)</f>
        <v>1234.0843001232752</v>
      </c>
      <c r="K12">
        <f>(2850.441-16828.21*K7+38813.38*(K7^2)-43759.71*(K7^3)+24148.87*(K7^4)+65652.12*(K7^5))*(1000000*((D3*1000)^-2)/100)*((105.0656+0.2289621*D3-0.007219671*(D4^2))/100)</f>
        <v>1742.476803198193</v>
      </c>
      <c r="L12">
        <f>(2850.441-16828.21*L7+38813.38*(L7^2)-43759.71*(L7^3)+24148.87*(L7^4)+65652.12*(L7^5))*(1000000*((D3*1000)^-2)/100)*((105.0656+0.2289621*D3-0.007219671*(D4^2))/100)</f>
        <v>2137.0202388686653</v>
      </c>
      <c r="M12">
        <f>(2850.441-16828.21*M7+38813.38*(M7^2)-43759.71*(M7^3)+24148.87*(M7^4)+65652.12*(M7^5))*(1000000*((D3*1000)^-2)/100)*((105.0656+0.2289621*D3-0.007219671*(D4^2))/100)</f>
        <v>3765.6588918412913</v>
      </c>
      <c r="N12">
        <f>(2850.441-16828.21*N7+38813.38*(N7^2)-43759.71*(N7^3)+24148.87*(N7^4)+65652.12*(N7^5))*(1000000*((D3*1000)^-2)/100)*((105.0656+0.2289621*D3-0.007219671*(D4^2))/100)</f>
        <v>5315.7516215800251</v>
      </c>
      <c r="O12">
        <f>(2850.441-16828.21*O7+38813.38*(O7^2)-43759.71*(O7^3)+24148.87*(O7^4)+65652.12*(O7^5))*(1000000*((D3*1000)^-2)/100)*((105.0656+0.2289621*D3-0.007219671*(D4^2))/100)</f>
        <v>7337.8619271071466</v>
      </c>
      <c r="P12">
        <f>(2850.441-16828.21*P7+38813.38*(P7^2)-43759.71*(P7^3)+24148.87*(P7^4)+65652.12*(P7^5))*(1000000*((D3*1000)^-2)/100)*((105.0656+0.2289621*D3-0.007219671*(D4^2))/100)</f>
        <v>13210.671431289662</v>
      </c>
      <c r="Q12">
        <f>(2850.441-16828.21*Q7+38813.38*(Q7^2)-43759.71*(Q7^3)+24148.87*(Q7^4)+65652.12*(Q7^5))*(1000000*((D3*1000)^-2)/100)*((105.0656+0.2289621*D3-0.007219671*(D4^2))/100)</f>
        <v>22344.091299827473</v>
      </c>
      <c r="R12">
        <f>(2850.441-16828.21*R7+38813.38*(R7^2)-43759.71*(R7^3)+24148.87*(R7^4)+65652.12*(R7^5))*(1000000*((D3*1000)^-2)/100)*((105.0656+0.2289621*D3-0.007219671*(D4^2))/100)</f>
        <v>35931.450898354189</v>
      </c>
      <c r="S12">
        <f>(2850.441-16828.21*S7+38813.38*(S7^2)-43759.71*(S7^3)+24148.87*(S7^4)+65652.12*(S7^5))*(1000000*((D3*1000)^-2)/100)*((105.0656+0.2289621*D3-0.007219671*(D4^2))/100)</f>
        <v>67915.658966566625</v>
      </c>
      <c r="T12">
        <f>(2850.441-16828.21*T7+38813.38*(T7^2)-43759.71*(T7^3)+24148.87*(T7^4)+65652.12*(T7^5))*(1000000*((D3*1000)^-2)/100)*((105.0656+0.2289621*D3-0.007219671*(D4^2))/100)</f>
        <v>736.32814839238654</v>
      </c>
      <c r="V12">
        <f>((318.6327-0.1065385*D4+0.019*(D4^2))/10000)*(D3*1000)</f>
        <v>33.892885499999998</v>
      </c>
    </row>
    <row r="13" spans="1:24" x14ac:dyDescent="0.25">
      <c r="A13" s="4" t="s">
        <v>6</v>
      </c>
      <c r="B13" s="4"/>
      <c r="C13">
        <f>(-2702.317+15731.84*C7-35865.55*(C7^2)+40071.94*(C7^3)-21978.72*(C7^4)+47510.33*(C7^5))*(1000000*((D3*1000)^-2)/100)*((106.5418+0.2815766*D4-0.01024244*(D4^2))/100)</f>
        <v>29.566384631068043</v>
      </c>
      <c r="D13">
        <f>(-2702.317+15731.84*D7-35865.55*(D7^2)+40071.94*(D7^3)-21978.72*(D7^4)+47510.33*(D7^5))*(1000000*((D3*1000)^-2)/100)*((106.5418+0.2815766*D3-0.01024244*(D4^2))/100)</f>
        <v>41.446803893986214</v>
      </c>
      <c r="E13">
        <f>(-2702.317+15731.84*E7-35865.55*(E7^2)+40071.94*(E7^3)-21978.72*(E7^4)+47510.33*(E7^5))*(1000000*((D3*1000)^-2)/100)*((106.5418+0.2815766*D3-0.01024244*(D4^2))/100)</f>
        <v>70.163458805304714</v>
      </c>
      <c r="F13">
        <f>(-2702.317+15731.84*F7-35865.55*(F7^2)+40071.94*(F7^3)-21978.72*(F7^4)+47510.33*(F7^5))*(1000000*((D3*1000)^-2)/100)*((106.5418+0.2815766*D3-0.01024244*(D4^2))/100)</f>
        <v>75.316498187408456</v>
      </c>
      <c r="G13">
        <f>(-2702.317+15731.84*G7-35865.55*(G7^2)+40071.94*(G7^3)-21978.72*(G7^4)+47510.33*(G7^5))*(1000000*((D3*1000)^-2)/100)*((106.5418+0.2815766*D3-0.01024244*(D4^2))/100)</f>
        <v>136.76181694415456</v>
      </c>
      <c r="H13">
        <f>(-2702.317+15731.84*H7-35865.55*(H7^2)+40071.94*(H7^3)-21978.72*(H7^4)+47510.33*(H7^5))*(1000000*((D3*1000)^-2)/100)*((106.5418+0.2815766*D3-0.01024244*(D4^2))/100)</f>
        <v>246.47088741798427</v>
      </c>
      <c r="I13">
        <f>(-2702.317+15731.84*I7-35865.55*(I7^2)+40071.94*(I7^3)-21978.72*(I7^4)+47510.33*(I7^5))*(1000000*((D3*1000)^-2)/100)*((106.5418+0.2815766*D3-0.01024244*(D4^2))/100)</f>
        <v>417.43318062296532</v>
      </c>
      <c r="J13">
        <f>(-2702.317+15731.84*J7-35865.55*(J7^2)+40071.94*(J7^3)-21978.72*(J7^4)+47510.33*(J7^5))*(1000000*((D3*1000)^-2)/100)*((106.5418+0.2815766*D3-0.01024244*(D4^2))/100)</f>
        <v>735.66275832585791</v>
      </c>
      <c r="K13">
        <f>(-2702.317+15731.84*K7-35865.55*(K7^2)+40071.94*(K7^3)-21978.72*(K7^4)+47510.33*(K7^5))*(1000000*((D3*1000)^-2)/100)*((106.5418+0.2815766*D3-0.01024244*(D4^2))/100)</f>
        <v>1038.7108364460048</v>
      </c>
      <c r="L13">
        <f>(-2702.317+15731.84*L7-35865.55*(L7^2)+40071.94*(L7^3)-21978.72*(L7^4)+47510.33*(L7^5))*(1000000*((D3*1000)^-2)/100)*((106.5418+0.2815766*D3-0.01024244*(D4^2))/100)</f>
        <v>1273.9340845967615</v>
      </c>
      <c r="M13">
        <f>(-2702.317+15731.84*M7-35865.55*(M7^2)+40071.94*(M7^3)-21978.72*(M7^4)+47510.33*(M7^5))*(1000000*((D3*1000)^-2)/100)*((106.5418+0.2815766*D3-0.01024244*(D4^2))/100)</f>
        <v>2245.6188934136208</v>
      </c>
      <c r="N13">
        <f>(-2702.317+15731.84*N7-35865.55*(N7^2)+40071.94*(N7^3)-21978.72*(N7^4)+47510.33*(N7^5))*(1000000*((D3*1000)^-2)/100)*((106.5418+0.2815766*D3-0.01024244*(D4^2))/100)</f>
        <v>3171.7296482439478</v>
      </c>
      <c r="O13">
        <f>(-2702.317+15731.84*O7-35865.55*(O7^2)+40071.94*(O7^3)-21978.72*(O7^4)+47510.33*(O7^5))*(1000000*((D3*1000)^-2)/100)*((106.5418+0.2815766*D3-0.01024244*(D4^2))/100)</f>
        <v>4381.7860906898923</v>
      </c>
      <c r="P13">
        <f>(-2702.317+15731.84*P7-35865.55*(P7^2)+40071.94*(P7^3)-21978.72*(P7^4)+47510.33*(P7^5))*(1000000*((D3*1000)^-2)/100)*((106.5418+0.2815766*D3-0.01024244*(D4^2))/100)</f>
        <v>7907.2528542682685</v>
      </c>
      <c r="Q13">
        <f>(-2702.317+15731.84*Q7-35865.55*(Q7^2)+40071.94*(Q7^3)-21978.72*(Q7^4)+47510.33*(Q7^5))*(1000000*((D3*1000)^-2)/100)*((106.5418+0.2815766*D3-0.01024244*(D4^2))/100)</f>
        <v>13416.278353637255</v>
      </c>
      <c r="R13">
        <f>(-2702.317+15731.84*R7-35865.55*(R7^2)+40071.94*(R7^3)-21978.72*(R7^4)+47510.33*(R7^5))*(1000000*((D3*1000)^-2)/100)*((106.5418+0.2815766*D3-0.01024244*(D4^2))/100)</f>
        <v>21655.147558446071</v>
      </c>
      <c r="S13">
        <f>(-2702.317+15731.84*S7-35865.55*(S7^2)+40071.94*(S7^3)-21978.72*(S7^4)+47510.33*(S7^5))*(1000000*((D3*1000)^-2)/100)*((106.5418+0.2815766*D3-0.01024244*(D4^2))/100)</f>
        <v>41186.736935914036</v>
      </c>
      <c r="T13">
        <f>(-2702.317+15731.84*T7-35865.55*(T7^2)+40071.94*(T7^3)-21978.72*(T7^4)+47510.33*(T7^5))*(1000000*((D3*1000)^-2)/100)*((106.5418+0.2815766*D3-0.01024244*(D4^2))/100)</f>
        <v>438.94734869389879</v>
      </c>
      <c r="V13">
        <f>((410.3+0.1*D4+0.04*(D4^2))/10000)*(D3*1000)</f>
        <v>44.33</v>
      </c>
    </row>
    <row r="14" spans="1:24" x14ac:dyDescent="0.25">
      <c r="A14" s="4" t="s">
        <v>5</v>
      </c>
      <c r="B14" s="4"/>
      <c r="C14">
        <f>(4326.217-26822.06*C7+65092.01*(C7^2)-77381.15*(C7^3)+45139.41*(C7^4)+19905.52*(C7^5))*(1000000*((D3*1000)^-2)/100)</f>
        <v>23.496969712000009</v>
      </c>
      <c r="D14">
        <f>(4326.217-26822.06*D7+65092.01*(D7^2)-77381.15*(D7^3)+45139.41*(D7^4)+19905.52*(D7^5))*(1000000*((D3*1000)^-2)/100)</f>
        <v>30.007037534218362</v>
      </c>
      <c r="E14">
        <f>(4326.217-26822.06*E7+65092.01*(E7^2)-77381.15*(E7^3)+45139.41*(E7^4)+19905.52*(E7^5))*(1000000*((D3*1000)^-2)/100)</f>
        <v>50.876185374000038</v>
      </c>
      <c r="F14">
        <f>(4326.217-26822.06*F7+65092.01*(F7^2)-77381.15*(F7^3)+45139.41*(F7^4)+19905.52*(F7^5))*(1000000*((D3*1000)^-2)/100)</f>
        <v>54.619670809238542</v>
      </c>
      <c r="G14">
        <f>(4326.217-26822.06*G7+65092.01*(G7^2)-77381.15*(G7^3)+45139.41*(G7^4)+19905.52*(G7^5))*(1000000*((D3*1000)^-2)/100)</f>
        <v>99.200497296000137</v>
      </c>
      <c r="H14">
        <f>(4326.217-26822.06*H7+65092.01*(H7^2)-77381.15*(H7^3)+45139.41*(H7^4)+19905.52*(H7^5))*(1000000*((D3*1000)^-2)/100)</f>
        <v>178.70010155800011</v>
      </c>
      <c r="I14">
        <f>(4326.217-26822.06*I7+65092.01*(I7^2)-77381.15*(I7^3)+45139.41*(I7^4)+19905.52*(I7^5))*(1000000*((D3*1000)^-2)/100)</f>
        <v>302.59947000000011</v>
      </c>
      <c r="J14">
        <f>(4326.217-26822.06*J7+65092.01*(J7^2)-77381.15*(J7^3)+45139.41*(J7^4)+19905.52*(J7^5))*(1000000*((D3*1000)^-2)/100)</f>
        <v>533.30045992548889</v>
      </c>
      <c r="K14">
        <f>(4326.217-26822.06*K7+65092.01*(K7^2)-77381.15*(K7^3)+45139.41*(K7^4)+19905.52*(K7^5))*(1000000*((D3*1000)^-2)/100)</f>
        <v>752.89996302400016</v>
      </c>
      <c r="L14">
        <f>(4326.217-26822.06*L7+65092.01*(L7^2)-77381.15*(L7^3)+45139.41*(L7^4)+19905.52*(L7^5))*(1000000*((D3*1000)^-2)/100)</f>
        <v>923.2031289843751</v>
      </c>
      <c r="M14">
        <f>(4326.217-26822.06*M7+65092.01*(M7^2)-77381.15*(M7^3)+45139.41*(M7^4)+19905.52*(M7^5))*(1000000*((D3*1000)^-2)/100)</f>
        <v>1624.8601834079996</v>
      </c>
      <c r="N14">
        <f>(4326.217-26822.06*N7+65092.01*(N7^2)-77381.15*(N7^3)+45139.41*(N7^4)+19905.52*(N7^5))*(1000000*((D3*1000)^-2)/100)</f>
        <v>2290.6457387500009</v>
      </c>
      <c r="O14">
        <f>(4326.217-26822.06*O7+65092.01*(O7^2)-77381.15*(O7^3)+45139.41*(O7^4)+19905.52*(O7^5))*(1000000*((D3*1000)^-2)/100)</f>
        <v>3156.4341897120025</v>
      </c>
      <c r="P14">
        <f>(4326.217-26822.06*P7+65092.01*(P7^2)-77381.15*(P7^3)+45139.41*(P7^4)+19905.52*(P7^5))*(1000000*((D3*1000)^-2)/100)</f>
        <v>5656.4156116960021</v>
      </c>
      <c r="Q14">
        <f>(4326.217-26822.06*Q7+65092.01*(Q7^2)-77381.15*(Q7^3)+45139.41*(Q7^4)+19905.52*(Q7^5))*(1000000*((D3*1000)^-2)/100)</f>
        <v>9512.0813700000017</v>
      </c>
      <c r="R14">
        <f>(4326.217-26822.06*R7+65092.01*(R7^2)-77381.15*(R7^3)+45139.41*(R7^4)+19905.52*(R7^5))*(1000000*((D3*1000)^-2)/100)</f>
        <v>15196.835395824006</v>
      </c>
      <c r="S14">
        <f>(4326.217-26822.06*S7+65092.01*(S7^2)-77381.15*(S7^3)+45139.41*(S7^4)+19905.52*(S7^5))*(1000000*((D3*1000)^-2)/100)</f>
        <v>28421.723013750005</v>
      </c>
      <c r="T14">
        <f>(4326.217-26822.06*T7+65092.01*(T7^2)-77381.15*(T7^3)+45139.41*(T7^4)+19905.52*(T7^5))*(1000000*((D3*1000)^-2)/100)</f>
        <v>318.19479592629602</v>
      </c>
      <c r="V14">
        <f>(496.6/10000)*(D3*1000)</f>
        <v>49.660000000000004</v>
      </c>
    </row>
    <row r="15" spans="1:24" x14ac:dyDescent="0.25">
      <c r="A15" s="4" t="s">
        <v>4</v>
      </c>
      <c r="B15" s="4"/>
      <c r="C15">
        <f>(-1164.307+5799.282*C7-11329.14*(C7^2)+10903.18*(C7^3)-5196.634*(C7^4)+21755.22*(C7^5))*(1000000*((D3*1000)^-2)/100)*((129.8762+2.570304*D4+0.03857069*(D4^2))/100)</f>
        <v>14.084924925621943</v>
      </c>
      <c r="D15">
        <f>(-1164.307+5799.282*D7-11329.14*(D7^2)+10903.18*(D7^3)-5196.634*(D7^4)+21755.22*(D7^5))*(1000000*((D3*1000)^-2)/100)*((129.8762+2.570304*D4+0.03857069*(D4^2))/100)</f>
        <v>18.016267634377439</v>
      </c>
      <c r="E15">
        <f>(-1164.307+5799.282*E7-11329.14*(E7^2)+10903.18*(E7^3)-5196.634*(E7^4)+21755.22*(E7^5))*(1000000*((D3*1000)^-2)/100)*((129.8762+2.570304*D4+0.03857069*(D4^2))/100)</f>
        <v>30.551677277992987</v>
      </c>
      <c r="F15">
        <f>(-1164.307+5799.282*F7-11329.14*(F7^2)+10903.18*(F7^3)-5196.634*(F7^4)+21755.22*(F7^5))*(1000000*((D3*1000)^-2)/100)*((129.8762+2.570304*D4+0.03857069*(D4^2))/100)</f>
        <v>32.797568022751982</v>
      </c>
      <c r="G15">
        <f>(-1164.307+5799.282*G7-11329.14*(G7^2)+10903.18*(G7^3)-5196.634*(G7^4)+21755.22*(G7^5))*(1000000*((D3*1000)^-2)/100)*((129.8762+2.570304*D4+0.03857069*(D4^2))/100)</f>
        <v>59.549043643429705</v>
      </c>
      <c r="H15">
        <f>(-1164.307+5799.282*H7-11329.14*(H7^2)+10903.18*(H7^3)-5196.634*(H7^4)+21755.22*(H7^5))*(1000000*((D3*1000)^-2)/100)*((129.8762+2.570304*D4+0.03857069*(D4^2))/100)</f>
        <v>107.28274421383198</v>
      </c>
      <c r="I15">
        <f>(-1164.307+5799.282*I7-11329.14*(I7^2)+10903.18*(I7^3)-5196.634*(I7^4)+21755.22*(I7^5))*(1000000*((D3*1000)^-2)/100)*((129.8762+2.570304*D4+0.03857069*(D4^2))/100)</f>
        <v>181.67642935683014</v>
      </c>
      <c r="J15">
        <f>(-1164.307+5799.282*J7-11329.14*(J7^2)+10903.18*(J7^3)-5196.634*(J7^4)+21755.22*(J7^5))*(1000000*((D3*1000)^-2)/100)*((129.8762+2.570304*D4+0.03857069*(D4^2))/100)</f>
        <v>320.18746044515109</v>
      </c>
      <c r="K15">
        <f>(-1164.307+5799.282*K7-11329.14*(K7^2)+10903.18*(K7^3)-5196.634*(K7^4)+21755.22*(K7^5))*(1000000*((D3*1000)^-2)/100)*((129.8762+2.570304*D4+0.03857069*(D4^2))/100)</f>
        <v>452.09828227491397</v>
      </c>
      <c r="L15">
        <f>(-1164.307+5799.282*L7-11329.14*(L7^2)+10903.18*(L7^3)-5196.634*(L7^4)+21755.22*(L7^5))*(1000000*((D3*1000)^-2)/100)*((129.8762+2.570304*D4+0.03857069*(D4^2))/100)</f>
        <v>554.47766356475279</v>
      </c>
      <c r="M15">
        <f>(-1164.307+5799.282*M7-11329.14*(M7^2)+10903.18*(M7^3)-5196.634*(M7^4)+21755.22*(M7^5))*(1000000*((D3*1000)^-2)/100)*((129.8762+2.570304*D4+0.03857069*(D4^2))/100)</f>
        <v>977.24082709913262</v>
      </c>
      <c r="N15">
        <f>(-1164.307+5799.282*N7-11329.14*(N7^2)+10903.18*(N7^3)-5196.634*(N7^4)+21755.22*(N7^5))*(1000000*((D3*1000)^-2)/100)*((129.8762+2.570304*D4+0.03857069*(D4^2))/100)</f>
        <v>1379.9033066966051</v>
      </c>
      <c r="O15">
        <f>(-1164.307+5799.282*O7-11329.14*(O7^2)+10903.18*(O7^3)-5196.634*(O7^4)+21755.22*(O7^5))*(1000000*((D3*1000)^-2)/100)*((129.8762+2.570304*D4+0.03857069*(D4^2))/100)</f>
        <v>1905.6334547039762</v>
      </c>
      <c r="P15">
        <f>(-1164.307+5799.282*P7-11329.14*(P7^2)+10903.18*(P7^3)-5196.634*(P7^4)+21755.22*(P7^5))*(1000000*((D3*1000)^-2)/100)*((129.8762+2.570304*D4+0.03857069*(D4^2))/100)</f>
        <v>3435.2168638176408</v>
      </c>
      <c r="Q15">
        <f>(-1164.307+5799.282*Q7-11329.14*(Q7^2)+10903.18*(Q7^3)-5196.634*(Q7^4)+21755.22*(Q7^5))*(1000000*((D3*1000)^-2)/100)*((129.8762+2.570304*D4+0.03857069*(D4^2))/100)</f>
        <v>5820.6512027027147</v>
      </c>
      <c r="R15">
        <f>(-1164.307+5799.282*R7-11329.14*(R7^2)+10903.18*(R7^3)-5196.634*(R7^4)+21755.22*(R7^5))*(1000000*((D3*1000)^-2)/100)*((129.8762+2.570304*D4+0.03857069*(D4^2))/100)</f>
        <v>9380.6242108368497</v>
      </c>
      <c r="S15">
        <f>(-1164.307+5799.282*S7-11329.14*(S7^2)+10903.18*(S7^3)-5196.634*(S7^4)+21755.22*(S7^5))*(1000000*((D3*1000)^-2)/100)*((129.8762+2.570304*D4+0.03857069*(D4^2))/100)</f>
        <v>17797.324426152227</v>
      </c>
      <c r="T15">
        <f>(-1164.307+5799.282*T7-11329.14*(T7^2)+10903.18*(T7^3)-5196.634*(T7^4)+21755.22*(T7^5))*(1000000*((D3*1000)^-2)/100)*((129.8762+2.570304*D4+0.03857069*(D4^2))/100)</f>
        <v>191.03950765265324</v>
      </c>
      <c r="V15">
        <f>(430.03/10000)*D3*1000</f>
        <v>43.003</v>
      </c>
    </row>
    <row r="16" spans="1:24" x14ac:dyDescent="0.25">
      <c r="A16" s="4" t="s">
        <v>3</v>
      </c>
      <c r="B16" s="4"/>
      <c r="C16">
        <f>(11429.35-66071.18*C7+150430.1*(C7^2)-168765.8*(C7^3)+93395.45*(C7^4)-7487.241*(C7^5))*(1000000*((D3*1000)^-2)/100)*((100.9427-0.05694906*D4-0.007978448*(D4^2))/100)</f>
        <v>9.6416458518421155</v>
      </c>
      <c r="D16">
        <f>(11429.35-66071.18*D7+150430.1*(D7^2)-168765.8*(D7^3)+93395.45*(D7^4)-7487.241*(D7^5))*(1000000*((D3*1000)^-2)/100)*((100.9427-0.05694906*D3-0.007978448*(D4^2))/100)</f>
        <v>11.997247675854435</v>
      </c>
      <c r="E16">
        <f>(11429.35-66071.18*E7+150430.1*(E7^2)-168765.8*(E7^3)+93395.45*(E7^4)-7487.241*(E7^5))*(1000000*((D3*1000)^-2)/100)*((100.9427-0.05694906*D3-0.007978448*(D4^2))/100)</f>
        <v>20.329055841751149</v>
      </c>
      <c r="F16">
        <f>(11429.35-66071.18*F7+150430.1*(F7^2)-168765.8*(F7^3)+93395.45*(F7^4)-7487.241*(F7^5))*(1000000*((D3*1000)^-2)/100)*((100.9427-0.05694906*D3-0.007978448*(D4^2))/100)</f>
        <v>21.833048215787446</v>
      </c>
      <c r="G16">
        <f>(11429.35-66071.18*G7+150430.1*(G7^2)-168765.8*(G7^3)+93395.45*(G7^4)-7487.241*(G7^5))*(1000000*((D3*1000)^-2)/100)*((100.9427-0.05694906*D3-0.007978448*(D4^2))/100)</f>
        <v>39.739768334461125</v>
      </c>
      <c r="H16">
        <f>(11429.35-66071.18*H7+150430.1*(H7^2)-168765.8*(H7^3)+93395.45*(H7^4)-7487.241*(H7^5))*(1000000*((D3*1000)^-2)/100)*((100.9427-0.05694906*D3-0.007978448*(D4^2))/100)</f>
        <v>71.58149923285211</v>
      </c>
      <c r="I16">
        <f>(11429.35-66071.18*I7+150430.1*(I7^2)-168765.8*(I7^3)+93395.45*(I7^4)-7487.241*(I7^5))*(1000000*((D3*1000)^-2)/100)*((100.9427-0.05694906*D3-0.007978448*(D4^2))/100)</f>
        <v>121.1671186073518</v>
      </c>
      <c r="J16">
        <f>(11429.35-66071.18*J7+150430.1*(J7^2)-168765.8*(J7^3)+93395.45*(J7^4)-7487.241*(J7^5))*(1000000*((D3*1000)^-2)/100)*((100.9427-0.05694906*D3-0.007978448*(D4^2))/100)</f>
        <v>213.55234296447776</v>
      </c>
      <c r="K16">
        <f>(11429.35-66071.18*K7+150430.1*(K7^2)-168765.8*(K7^3)+93395.45*(K7^4)-7487.241*(K7^5))*(1000000*((D3*1000)^-2)/100)*((100.9427-0.05694906*D3-0.007978448*(D4^2))/100)</f>
        <v>301.45067090211217</v>
      </c>
      <c r="L16">
        <f>(11429.35-66071.18*L7+150430.1*(L7^2)-168765.8*(L7^3)+93395.45*(L7^4)-7487.241*(L7^5))*(1000000*((D3*1000)^-2)/100)*((100.9427-0.05694906*D3-0.007978448*(D4^2))/100)</f>
        <v>369.5139959226542</v>
      </c>
      <c r="M16">
        <f>(11429.35-66071.18*M7+150430.1*(M7^2)-168765.8*(M7^3)+93395.45*(M7^4)-7487.241*(M7^5))*(1000000*((D3*1000)^-2)/100)*((100.9427-0.05694906*D3-0.007978448*(D4^2))/100)</f>
        <v>648.43138084462748</v>
      </c>
      <c r="N16">
        <f>(11429.35-66071.18*N7+150430.1*(N7^2)-168765.8*(N7^3)+93395.45*(N7^4)-7487.241*(N7^5))*(1000000*((D3*1000)^-2)/100)*((100.9427-0.05694906*D3-0.007978448*(D4^2))/100)</f>
        <v>910.47631594528855</v>
      </c>
      <c r="O16">
        <f>(11429.35-66071.18*O7+150430.1*(O7^2)-168765.8*(O7^3)+93395.45*(O7^4)-7487.241*(O7^5))*(1000000*((D3*1000)^-2)/100)*((100.9427-0.05694906*D3-0.007978448*(D4^2))/100)</f>
        <v>1247.3917770377093</v>
      </c>
      <c r="P16">
        <f>(11429.35-66071.18*P7+150430.1*(P7^2)-168765.8*(P7^3)+93395.45*(P7^4)-7487.241*(P7^5))*(1000000*((D3*1000)^-2)/100)*((100.9427-0.05694906*D3-0.007978448*(D4^2))/100)</f>
        <v>2198.3618438486596</v>
      </c>
      <c r="Q16">
        <f>(11429.35-66071.18*Q7+150430.1*(Q7^2)-168765.8*(Q7^3)+93395.45*(Q7^4)-7487.241*(Q7^5))*(1000000*((D3*1000)^-2)/100)*((100.9427-0.05694906*D3-0.007978448*(D4^2))/100)</f>
        <v>3613.4249041968465</v>
      </c>
      <c r="R16">
        <f>(11429.35-66071.18*R7+150430.1*(R7^2)-168765.8*(R7^3)+93395.45*(R7^4)-7487.241*(R7^5))*(1000000*((D3*1000)^-2)/100)*((100.9427-0.05694906*D3-0.007978448*(D4^2))/100)</f>
        <v>5614.0235023412833</v>
      </c>
      <c r="S16">
        <f>(11429.35-66071.18*S7+150430.1*(S7^2)-168765.8*(S7^3)+93395.45*(S7^4)-7487.241*(S7^5))*(1000000*((D3*1000)^-2)/100)*((100.9427-0.05694906*D3-0.007978448*(D4^2))/100)</f>
        <v>9994.1954977727873</v>
      </c>
      <c r="T16">
        <f>(11429.35-66071.18*T7+150430.1*(T7^2)-168765.8*(T7^3)+93395.45*(T7^4)-7487.241*(T7^5))*(1000000*((D3*1000)^-2)/100)*((100.9427-0.05694906*D3-0.007978448*(D4^2))/100)</f>
        <v>127.41033806072397</v>
      </c>
      <c r="V16">
        <f>((758.2788+0.4375641*D4+0.03633333*(D4^2))/10000)*(D3*1000)</f>
        <v>77.785187399999998</v>
      </c>
    </row>
    <row r="18" spans="2:23" x14ac:dyDescent="0.25">
      <c r="B18" s="7" t="s">
        <v>80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2:23" x14ac:dyDescent="0.25">
      <c r="B19" s="8" t="s">
        <v>81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2:23" x14ac:dyDescent="0.25">
      <c r="B20" s="9" t="s">
        <v>82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2:23" x14ac:dyDescent="0.25">
      <c r="B21" s="4" t="s">
        <v>83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x14ac:dyDescent="0.25">
      <c r="B22" s="4" t="s">
        <v>84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25">
      <c r="B23" s="4" t="s">
        <v>85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x14ac:dyDescent="0.25">
      <c r="B24" s="4" t="s">
        <v>87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25">
      <c r="B25" s="4" t="s">
        <v>90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197" spans="1:20" x14ac:dyDescent="0.25">
      <c r="A197" t="s">
        <v>12</v>
      </c>
    </row>
    <row r="198" spans="1:20" x14ac:dyDescent="0.25">
      <c r="A198" t="s">
        <v>1</v>
      </c>
      <c r="B198" t="s">
        <v>0</v>
      </c>
      <c r="C198">
        <v>0.6</v>
      </c>
      <c r="D198">
        <v>0.63</v>
      </c>
      <c r="E198">
        <v>0.7</v>
      </c>
      <c r="F198">
        <v>0.71</v>
      </c>
      <c r="G198">
        <v>0.8</v>
      </c>
      <c r="H198">
        <v>0.9</v>
      </c>
      <c r="I198">
        <v>1</v>
      </c>
      <c r="J198">
        <v>1.1200000000000001</v>
      </c>
      <c r="K198">
        <v>1.2</v>
      </c>
      <c r="L198">
        <v>1.25</v>
      </c>
      <c r="M198">
        <v>1.4</v>
      </c>
      <c r="N198">
        <v>1.5</v>
      </c>
      <c r="O198">
        <v>1.6</v>
      </c>
      <c r="P198">
        <v>1.8</v>
      </c>
      <c r="Q198">
        <v>2</v>
      </c>
      <c r="R198">
        <v>2.2000000000000002</v>
      </c>
      <c r="S198">
        <v>2.5</v>
      </c>
      <c r="T198" t="s">
        <v>10</v>
      </c>
    </row>
    <row r="199" spans="1:20" x14ac:dyDescent="0.25">
      <c r="A199">
        <v>200</v>
      </c>
      <c r="B199" t="s">
        <v>2</v>
      </c>
      <c r="D199">
        <v>290</v>
      </c>
      <c r="E199">
        <v>490</v>
      </c>
      <c r="F199">
        <v>520</v>
      </c>
      <c r="G199">
        <v>950</v>
      </c>
      <c r="H199">
        <v>1700</v>
      </c>
      <c r="I199">
        <v>2890</v>
      </c>
      <c r="J199">
        <v>5090</v>
      </c>
      <c r="K199">
        <v>7180</v>
      </c>
      <c r="L199">
        <v>8810</v>
      </c>
      <c r="T199">
        <v>16.100000000000001</v>
      </c>
    </row>
    <row r="200" spans="1:20" x14ac:dyDescent="0.25">
      <c r="A200">
        <v>200</v>
      </c>
      <c r="B200" t="s">
        <v>9</v>
      </c>
      <c r="C200" t="s">
        <v>19</v>
      </c>
    </row>
    <row r="201" spans="1:20" x14ac:dyDescent="0.25">
      <c r="A201">
        <v>200</v>
      </c>
      <c r="B201" t="s">
        <v>8</v>
      </c>
      <c r="C201" t="s">
        <v>19</v>
      </c>
    </row>
    <row r="202" spans="1:20" x14ac:dyDescent="0.25">
      <c r="A202">
        <v>200</v>
      </c>
      <c r="B202" t="s">
        <v>70</v>
      </c>
      <c r="C202" t="s">
        <v>19</v>
      </c>
    </row>
    <row r="203" spans="1:20" x14ac:dyDescent="0.25">
      <c r="A203">
        <v>200</v>
      </c>
      <c r="B203" t="s">
        <v>7</v>
      </c>
      <c r="C203">
        <v>1170</v>
      </c>
      <c r="D203">
        <v>1490</v>
      </c>
      <c r="E203">
        <v>2520</v>
      </c>
      <c r="F203">
        <v>2700</v>
      </c>
      <c r="G203">
        <v>4910</v>
      </c>
      <c r="H203">
        <v>8850</v>
      </c>
      <c r="I203">
        <v>14990</v>
      </c>
      <c r="J203">
        <v>26410</v>
      </c>
      <c r="K203">
        <v>37290</v>
      </c>
      <c r="T203">
        <v>7.1</v>
      </c>
    </row>
    <row r="204" spans="1:20" x14ac:dyDescent="0.25">
      <c r="A204">
        <v>200</v>
      </c>
      <c r="B204" t="s">
        <v>6</v>
      </c>
      <c r="C204">
        <v>660</v>
      </c>
      <c r="D204">
        <v>840</v>
      </c>
      <c r="E204">
        <v>1420</v>
      </c>
      <c r="F204">
        <v>1530</v>
      </c>
      <c r="G204">
        <v>2770</v>
      </c>
      <c r="H204">
        <v>4990</v>
      </c>
      <c r="I204">
        <v>8460</v>
      </c>
      <c r="J204">
        <v>14900</v>
      </c>
      <c r="K204">
        <v>21040</v>
      </c>
      <c r="T204">
        <v>9.4</v>
      </c>
    </row>
    <row r="205" spans="1:20" x14ac:dyDescent="0.25">
      <c r="A205">
        <v>200</v>
      </c>
      <c r="B205" t="s">
        <v>5</v>
      </c>
      <c r="C205" t="s">
        <v>11</v>
      </c>
    </row>
    <row r="206" spans="1:20" x14ac:dyDescent="0.25">
      <c r="A206">
        <v>200</v>
      </c>
      <c r="B206" t="s">
        <v>4</v>
      </c>
      <c r="C206">
        <v>530</v>
      </c>
      <c r="D206">
        <v>680</v>
      </c>
      <c r="E206">
        <v>1150</v>
      </c>
      <c r="F206">
        <v>1240</v>
      </c>
      <c r="G206">
        <v>2250</v>
      </c>
      <c r="H206">
        <v>4050</v>
      </c>
      <c r="I206">
        <v>6860</v>
      </c>
      <c r="J206">
        <v>12090</v>
      </c>
      <c r="K206">
        <v>17080</v>
      </c>
      <c r="T206">
        <v>10.5</v>
      </c>
    </row>
    <row r="207" spans="1:20" x14ac:dyDescent="0.25">
      <c r="A207">
        <v>200</v>
      </c>
      <c r="B207" t="s">
        <v>3</v>
      </c>
      <c r="D207">
        <v>290</v>
      </c>
      <c r="E207">
        <v>490</v>
      </c>
      <c r="F207">
        <v>530</v>
      </c>
      <c r="G207">
        <v>960</v>
      </c>
      <c r="H207">
        <v>1730</v>
      </c>
      <c r="I207">
        <v>2930</v>
      </c>
      <c r="J207">
        <v>5160</v>
      </c>
      <c r="K207">
        <v>7290</v>
      </c>
      <c r="L207">
        <v>8940</v>
      </c>
      <c r="T207">
        <v>16</v>
      </c>
    </row>
    <row r="209" spans="1:20" x14ac:dyDescent="0.25">
      <c r="A209" t="s">
        <v>12</v>
      </c>
    </row>
    <row r="210" spans="1:20" x14ac:dyDescent="0.25">
      <c r="A210" t="s">
        <v>1</v>
      </c>
      <c r="B210" t="s">
        <v>0</v>
      </c>
      <c r="C210">
        <v>0.6</v>
      </c>
      <c r="D210">
        <v>0.63</v>
      </c>
      <c r="E210">
        <v>0.7</v>
      </c>
      <c r="F210">
        <v>0.71</v>
      </c>
      <c r="G210">
        <v>0.8</v>
      </c>
      <c r="H210">
        <v>0.9</v>
      </c>
      <c r="I210">
        <v>1</v>
      </c>
      <c r="J210">
        <v>1.1200000000000001</v>
      </c>
      <c r="K210">
        <v>1.2</v>
      </c>
      <c r="L210">
        <v>1.25</v>
      </c>
      <c r="M210">
        <v>1.4</v>
      </c>
      <c r="N210">
        <v>1.5</v>
      </c>
      <c r="O210">
        <v>1.6</v>
      </c>
      <c r="P210">
        <v>1.8</v>
      </c>
      <c r="Q210">
        <v>2</v>
      </c>
      <c r="R210">
        <v>2.2000000000000002</v>
      </c>
      <c r="S210">
        <v>2.5</v>
      </c>
      <c r="T210" t="s">
        <v>10</v>
      </c>
    </row>
    <row r="211" spans="1:20" x14ac:dyDescent="0.25">
      <c r="A211">
        <v>400</v>
      </c>
      <c r="B211" t="s">
        <v>2</v>
      </c>
      <c r="G211">
        <v>240</v>
      </c>
      <c r="H211">
        <v>430</v>
      </c>
      <c r="I211">
        <v>720</v>
      </c>
      <c r="J211">
        <v>1270</v>
      </c>
      <c r="K211">
        <v>1800</v>
      </c>
      <c r="L211">
        <v>2200</v>
      </c>
      <c r="M211">
        <v>3880</v>
      </c>
      <c r="N211">
        <v>5480</v>
      </c>
      <c r="O211">
        <v>7570</v>
      </c>
      <c r="T211">
        <v>32.200000000000003</v>
      </c>
    </row>
    <row r="212" spans="1:20" x14ac:dyDescent="0.25">
      <c r="A212">
        <v>400</v>
      </c>
      <c r="B212" t="s">
        <v>9</v>
      </c>
      <c r="C212" t="s">
        <v>19</v>
      </c>
    </row>
    <row r="213" spans="1:20" x14ac:dyDescent="0.25">
      <c r="A213">
        <v>400</v>
      </c>
      <c r="B213" t="s">
        <v>8</v>
      </c>
      <c r="C213" t="s">
        <v>19</v>
      </c>
    </row>
    <row r="214" spans="1:20" x14ac:dyDescent="0.25">
      <c r="A214">
        <v>400</v>
      </c>
      <c r="B214" t="s">
        <v>70</v>
      </c>
      <c r="C214" t="s">
        <v>19</v>
      </c>
    </row>
    <row r="215" spans="1:20" x14ac:dyDescent="0.25">
      <c r="A215">
        <v>400</v>
      </c>
      <c r="B215" t="s">
        <v>7</v>
      </c>
      <c r="D215">
        <v>370</v>
      </c>
      <c r="E215">
        <v>630</v>
      </c>
      <c r="F215">
        <v>680</v>
      </c>
      <c r="G215">
        <v>1230</v>
      </c>
      <c r="H215">
        <v>2210</v>
      </c>
      <c r="I215">
        <v>3750</v>
      </c>
      <c r="J215">
        <v>6610</v>
      </c>
      <c r="K215">
        <v>9330</v>
      </c>
      <c r="L215">
        <v>11450</v>
      </c>
      <c r="T215">
        <v>14.1</v>
      </c>
    </row>
    <row r="216" spans="1:20" x14ac:dyDescent="0.25">
      <c r="A216">
        <v>400</v>
      </c>
      <c r="B216" t="s">
        <v>6</v>
      </c>
      <c r="E216">
        <v>360</v>
      </c>
      <c r="F216">
        <v>380</v>
      </c>
      <c r="G216">
        <v>690</v>
      </c>
      <c r="H216">
        <v>1250</v>
      </c>
      <c r="I216">
        <v>2120</v>
      </c>
      <c r="J216">
        <v>3730</v>
      </c>
      <c r="K216">
        <v>5270</v>
      </c>
      <c r="L216">
        <v>6460</v>
      </c>
      <c r="M216">
        <v>11380</v>
      </c>
      <c r="T216">
        <v>18.8</v>
      </c>
    </row>
    <row r="217" spans="1:20" x14ac:dyDescent="0.25">
      <c r="A217">
        <v>400</v>
      </c>
      <c r="B217" t="s">
        <v>5</v>
      </c>
      <c r="C217" t="s">
        <v>11</v>
      </c>
    </row>
    <row r="218" spans="1:20" x14ac:dyDescent="0.25">
      <c r="A218">
        <v>400</v>
      </c>
      <c r="B218" t="s">
        <v>4</v>
      </c>
      <c r="E218">
        <v>370</v>
      </c>
      <c r="F218">
        <v>390</v>
      </c>
      <c r="G218">
        <v>720</v>
      </c>
      <c r="H218">
        <v>1290</v>
      </c>
      <c r="I218">
        <v>2180</v>
      </c>
      <c r="J218">
        <v>3850</v>
      </c>
      <c r="K218">
        <v>5440</v>
      </c>
      <c r="L218">
        <v>6670</v>
      </c>
      <c r="M218">
        <v>11750</v>
      </c>
      <c r="T218">
        <v>18.5</v>
      </c>
    </row>
    <row r="219" spans="1:20" x14ac:dyDescent="0.25">
      <c r="A219">
        <v>400</v>
      </c>
      <c r="B219" t="s">
        <v>3</v>
      </c>
      <c r="G219">
        <v>240</v>
      </c>
      <c r="H219">
        <v>430</v>
      </c>
      <c r="I219">
        <v>730</v>
      </c>
      <c r="J219">
        <v>1290</v>
      </c>
      <c r="K219">
        <v>1830</v>
      </c>
      <c r="L219">
        <v>2240</v>
      </c>
      <c r="M219">
        <v>3950</v>
      </c>
      <c r="N219">
        <v>5570</v>
      </c>
      <c r="O219">
        <v>7690</v>
      </c>
      <c r="T219">
        <v>32</v>
      </c>
    </row>
    <row r="221" spans="1:20" x14ac:dyDescent="0.25">
      <c r="A221" t="s">
        <v>12</v>
      </c>
    </row>
    <row r="222" spans="1:20" x14ac:dyDescent="0.25">
      <c r="A222" t="s">
        <v>1</v>
      </c>
      <c r="B222" t="s">
        <v>0</v>
      </c>
      <c r="C222">
        <v>0.6</v>
      </c>
      <c r="D222">
        <v>0.63</v>
      </c>
      <c r="E222">
        <v>0.7</v>
      </c>
      <c r="F222">
        <v>0.71</v>
      </c>
      <c r="G222">
        <v>0.8</v>
      </c>
      <c r="H222">
        <v>0.9</v>
      </c>
      <c r="I222">
        <v>1</v>
      </c>
      <c r="J222">
        <v>1.1200000000000001</v>
      </c>
      <c r="K222">
        <v>1.2</v>
      </c>
      <c r="L222">
        <v>1.25</v>
      </c>
      <c r="M222">
        <v>1.4</v>
      </c>
      <c r="N222">
        <v>1.5</v>
      </c>
      <c r="O222">
        <v>1.6</v>
      </c>
      <c r="P222">
        <v>1.8</v>
      </c>
      <c r="Q222">
        <v>2</v>
      </c>
      <c r="R222">
        <v>2.2000000000000002</v>
      </c>
      <c r="S222">
        <v>2.5</v>
      </c>
      <c r="T222" t="s">
        <v>10</v>
      </c>
    </row>
    <row r="223" spans="1:20" x14ac:dyDescent="0.25">
      <c r="A223">
        <v>500</v>
      </c>
      <c r="B223" t="s">
        <v>2</v>
      </c>
      <c r="H223">
        <v>270</v>
      </c>
      <c r="I223">
        <v>460</v>
      </c>
      <c r="J223">
        <v>810</v>
      </c>
      <c r="K223">
        <v>1150</v>
      </c>
      <c r="L223">
        <v>1410</v>
      </c>
      <c r="M223">
        <v>2480</v>
      </c>
      <c r="N223">
        <v>3510</v>
      </c>
      <c r="O223">
        <v>4840</v>
      </c>
      <c r="P223">
        <v>8730</v>
      </c>
      <c r="T223">
        <v>40.299999999999997</v>
      </c>
    </row>
    <row r="224" spans="1:20" x14ac:dyDescent="0.25">
      <c r="A224">
        <v>500</v>
      </c>
      <c r="B224" t="s">
        <v>9</v>
      </c>
      <c r="C224" t="s">
        <v>19</v>
      </c>
    </row>
    <row r="225" spans="1:20" x14ac:dyDescent="0.25">
      <c r="A225">
        <v>500</v>
      </c>
      <c r="B225" t="s">
        <v>8</v>
      </c>
      <c r="C225" t="s">
        <v>19</v>
      </c>
    </row>
    <row r="226" spans="1:20" x14ac:dyDescent="0.25">
      <c r="A226">
        <v>500</v>
      </c>
      <c r="B226" t="s">
        <v>70</v>
      </c>
      <c r="C226" t="s">
        <v>19</v>
      </c>
    </row>
    <row r="227" spans="1:20" x14ac:dyDescent="0.25">
      <c r="A227">
        <v>500</v>
      </c>
      <c r="B227" t="s">
        <v>7</v>
      </c>
      <c r="D227">
        <v>240</v>
      </c>
      <c r="E227">
        <v>400</v>
      </c>
      <c r="F227">
        <v>430</v>
      </c>
      <c r="G227">
        <v>790</v>
      </c>
      <c r="H227">
        <v>1420</v>
      </c>
      <c r="I227">
        <v>2400</v>
      </c>
      <c r="J227">
        <v>4230</v>
      </c>
      <c r="K227">
        <v>5970</v>
      </c>
      <c r="L227">
        <v>7330</v>
      </c>
      <c r="T227">
        <v>17.7</v>
      </c>
    </row>
    <row r="228" spans="1:20" x14ac:dyDescent="0.25">
      <c r="A228">
        <v>500</v>
      </c>
      <c r="B228" t="s">
        <v>6</v>
      </c>
      <c r="E228">
        <v>230</v>
      </c>
      <c r="F228">
        <v>240</v>
      </c>
      <c r="G228">
        <v>440</v>
      </c>
      <c r="H228">
        <v>800</v>
      </c>
      <c r="I228">
        <v>1360</v>
      </c>
      <c r="J228">
        <v>2390</v>
      </c>
      <c r="K228">
        <v>3370</v>
      </c>
      <c r="L228">
        <v>4140</v>
      </c>
      <c r="M228">
        <v>7290</v>
      </c>
      <c r="T228">
        <v>23.5</v>
      </c>
    </row>
    <row r="229" spans="1:20" x14ac:dyDescent="0.25">
      <c r="A229">
        <v>500</v>
      </c>
      <c r="B229" t="s">
        <v>5</v>
      </c>
      <c r="C229" t="s">
        <v>11</v>
      </c>
    </row>
    <row r="230" spans="1:20" x14ac:dyDescent="0.25">
      <c r="A230">
        <v>500</v>
      </c>
      <c r="B230" t="s">
        <v>4</v>
      </c>
      <c r="E230">
        <v>250</v>
      </c>
      <c r="F230">
        <v>270</v>
      </c>
      <c r="G230">
        <v>480</v>
      </c>
      <c r="H230">
        <v>870</v>
      </c>
      <c r="I230">
        <v>1470</v>
      </c>
      <c r="J230">
        <v>2600</v>
      </c>
      <c r="K230">
        <v>3660</v>
      </c>
      <c r="L230">
        <v>4490</v>
      </c>
      <c r="M230">
        <v>7920</v>
      </c>
      <c r="T230">
        <v>22.6</v>
      </c>
    </row>
    <row r="231" spans="1:20" x14ac:dyDescent="0.25">
      <c r="A231">
        <v>500</v>
      </c>
      <c r="B231" t="s">
        <v>3</v>
      </c>
      <c r="H231">
        <v>280</v>
      </c>
      <c r="I231">
        <v>470</v>
      </c>
      <c r="J231">
        <v>830</v>
      </c>
      <c r="K231">
        <v>1170</v>
      </c>
      <c r="L231">
        <v>1430</v>
      </c>
      <c r="M231">
        <v>2530</v>
      </c>
      <c r="N231">
        <v>3570</v>
      </c>
      <c r="O231">
        <v>4920</v>
      </c>
      <c r="P231">
        <v>8870</v>
      </c>
      <c r="T231">
        <v>40</v>
      </c>
    </row>
    <row r="233" spans="1:20" x14ac:dyDescent="0.25">
      <c r="A233" t="s">
        <v>12</v>
      </c>
    </row>
    <row r="234" spans="1:20" x14ac:dyDescent="0.25">
      <c r="A234" t="s">
        <v>1</v>
      </c>
      <c r="B234" t="s">
        <v>0</v>
      </c>
      <c r="C234">
        <v>0.6</v>
      </c>
      <c r="D234">
        <v>0.63</v>
      </c>
      <c r="E234">
        <v>0.7</v>
      </c>
      <c r="F234">
        <v>0.71</v>
      </c>
      <c r="G234">
        <v>0.8</v>
      </c>
      <c r="H234">
        <v>0.9</v>
      </c>
      <c r="I234">
        <v>1</v>
      </c>
      <c r="J234">
        <v>1.1200000000000001</v>
      </c>
      <c r="K234">
        <v>1.2</v>
      </c>
      <c r="L234">
        <v>1.25</v>
      </c>
      <c r="M234">
        <v>1.4</v>
      </c>
      <c r="N234">
        <v>1.5</v>
      </c>
      <c r="O234">
        <v>1.6</v>
      </c>
      <c r="P234">
        <v>1.8</v>
      </c>
      <c r="Q234">
        <v>2</v>
      </c>
      <c r="R234">
        <v>2.2000000000000002</v>
      </c>
      <c r="S234">
        <v>2.5</v>
      </c>
      <c r="T234" t="s">
        <v>10</v>
      </c>
    </row>
    <row r="235" spans="1:20" x14ac:dyDescent="0.25">
      <c r="A235">
        <v>1000</v>
      </c>
      <c r="B235" t="s">
        <v>2</v>
      </c>
      <c r="K235">
        <v>290</v>
      </c>
      <c r="L235">
        <v>350</v>
      </c>
      <c r="M235">
        <v>620</v>
      </c>
      <c r="N235">
        <v>880</v>
      </c>
      <c r="O235">
        <v>1210</v>
      </c>
      <c r="P235">
        <v>2180</v>
      </c>
      <c r="Q235">
        <v>3690</v>
      </c>
      <c r="R235">
        <v>5950</v>
      </c>
      <c r="S235">
        <v>11270</v>
      </c>
      <c r="T235">
        <v>80.599999999999994</v>
      </c>
    </row>
    <row r="236" spans="1:20" x14ac:dyDescent="0.25">
      <c r="A236">
        <v>1000</v>
      </c>
      <c r="B236" t="s">
        <v>9</v>
      </c>
      <c r="C236" t="s">
        <v>19</v>
      </c>
    </row>
    <row r="237" spans="1:20" x14ac:dyDescent="0.25">
      <c r="A237">
        <v>1000</v>
      </c>
      <c r="B237" t="s">
        <v>8</v>
      </c>
      <c r="C237" t="s">
        <v>19</v>
      </c>
    </row>
    <row r="238" spans="1:20" x14ac:dyDescent="0.25">
      <c r="A238">
        <v>1000</v>
      </c>
      <c r="B238" t="s">
        <v>70</v>
      </c>
      <c r="C238" t="s">
        <v>19</v>
      </c>
    </row>
    <row r="239" spans="1:20" x14ac:dyDescent="0.25">
      <c r="A239">
        <v>1000</v>
      </c>
      <c r="B239" t="s">
        <v>7</v>
      </c>
      <c r="H239">
        <v>350</v>
      </c>
      <c r="I239">
        <v>600</v>
      </c>
      <c r="J239">
        <v>1060</v>
      </c>
      <c r="K239">
        <v>1490</v>
      </c>
      <c r="L239">
        <v>1830</v>
      </c>
      <c r="M239">
        <v>3230</v>
      </c>
      <c r="N239">
        <v>4560</v>
      </c>
      <c r="O239">
        <v>6300</v>
      </c>
      <c r="P239">
        <v>11350</v>
      </c>
      <c r="T239">
        <v>35.299999999999997</v>
      </c>
    </row>
    <row r="240" spans="1:20" x14ac:dyDescent="0.25">
      <c r="A240">
        <v>1000</v>
      </c>
      <c r="B240" t="s">
        <v>6</v>
      </c>
      <c r="I240">
        <v>340</v>
      </c>
      <c r="J240">
        <v>600</v>
      </c>
      <c r="K240">
        <v>840</v>
      </c>
      <c r="L240">
        <v>1030</v>
      </c>
      <c r="M240">
        <v>1820</v>
      </c>
      <c r="N240">
        <v>2570</v>
      </c>
      <c r="O240">
        <v>3550</v>
      </c>
      <c r="P240">
        <v>6400</v>
      </c>
      <c r="Q240">
        <v>10850</v>
      </c>
      <c r="T240">
        <v>47</v>
      </c>
    </row>
    <row r="241" spans="1:20" x14ac:dyDescent="0.25">
      <c r="A241">
        <v>1000</v>
      </c>
      <c r="B241" t="s">
        <v>5</v>
      </c>
      <c r="C241" t="s">
        <v>11</v>
      </c>
    </row>
    <row r="242" spans="1:20" x14ac:dyDescent="0.25">
      <c r="A242">
        <v>1000</v>
      </c>
      <c r="B242" t="s">
        <v>4</v>
      </c>
      <c r="I242">
        <v>410</v>
      </c>
      <c r="J242">
        <v>720</v>
      </c>
      <c r="K242">
        <v>1020</v>
      </c>
      <c r="L242">
        <v>1250</v>
      </c>
      <c r="M242">
        <v>2210</v>
      </c>
      <c r="N242">
        <v>3120</v>
      </c>
      <c r="O242">
        <v>4300</v>
      </c>
      <c r="P242">
        <v>7750</v>
      </c>
      <c r="Q242">
        <v>13130</v>
      </c>
      <c r="T242">
        <v>42.8</v>
      </c>
    </row>
    <row r="243" spans="1:20" x14ac:dyDescent="0.25">
      <c r="A243">
        <v>1000</v>
      </c>
      <c r="B243" t="s">
        <v>3</v>
      </c>
      <c r="K243">
        <v>290</v>
      </c>
      <c r="L243">
        <v>360</v>
      </c>
      <c r="M243">
        <v>630</v>
      </c>
      <c r="N243">
        <v>890</v>
      </c>
      <c r="O243">
        <v>1230</v>
      </c>
      <c r="P243">
        <v>2220</v>
      </c>
      <c r="Q243">
        <v>3760</v>
      </c>
      <c r="R243">
        <v>6050</v>
      </c>
      <c r="S243">
        <v>11470</v>
      </c>
      <c r="T243">
        <v>79.900000000000006</v>
      </c>
    </row>
    <row r="245" spans="1:20" x14ac:dyDescent="0.25">
      <c r="A245" t="s">
        <v>20</v>
      </c>
      <c r="E245" t="s">
        <v>2</v>
      </c>
      <c r="F245" t="s">
        <v>9</v>
      </c>
      <c r="G245" t="s">
        <v>17</v>
      </c>
      <c r="H245" t="s">
        <v>70</v>
      </c>
      <c r="I245" t="s">
        <v>7</v>
      </c>
      <c r="J245" t="s">
        <v>6</v>
      </c>
      <c r="K245" t="s">
        <v>5</v>
      </c>
      <c r="L245" t="s">
        <v>4</v>
      </c>
      <c r="M245" t="s">
        <v>3</v>
      </c>
    </row>
    <row r="246" spans="1:20" x14ac:dyDescent="0.25">
      <c r="A246" t="s">
        <v>13</v>
      </c>
      <c r="E246">
        <v>752.4</v>
      </c>
      <c r="F246">
        <v>780.1</v>
      </c>
      <c r="G246">
        <v>1171.4000000000001</v>
      </c>
      <c r="H246">
        <v>665.8</v>
      </c>
      <c r="I246">
        <v>324.5</v>
      </c>
      <c r="J246">
        <v>417.8</v>
      </c>
      <c r="K246">
        <v>496.6</v>
      </c>
      <c r="L246">
        <v>434.6</v>
      </c>
      <c r="M246">
        <v>759.9</v>
      </c>
    </row>
    <row r="247" spans="1:20" x14ac:dyDescent="0.25">
      <c r="A247" t="s">
        <v>14</v>
      </c>
      <c r="E247">
        <v>775.2</v>
      </c>
      <c r="F247">
        <v>815.9</v>
      </c>
      <c r="G247">
        <v>1216.2</v>
      </c>
      <c r="H247">
        <v>631.70000000000005</v>
      </c>
      <c r="I247">
        <v>333.2</v>
      </c>
      <c r="J247">
        <v>432.8</v>
      </c>
      <c r="K247" t="s">
        <v>18</v>
      </c>
      <c r="L247">
        <v>442.5</v>
      </c>
      <c r="M247">
        <v>770</v>
      </c>
    </row>
    <row r="248" spans="1:20" x14ac:dyDescent="0.25">
      <c r="A248" t="s">
        <v>15</v>
      </c>
      <c r="E248">
        <v>785.9</v>
      </c>
      <c r="F248">
        <v>835.3</v>
      </c>
      <c r="G248">
        <v>1242.9000000000001</v>
      </c>
      <c r="H248">
        <v>619.4</v>
      </c>
      <c r="I248">
        <v>338.9</v>
      </c>
      <c r="J248">
        <v>443.3</v>
      </c>
      <c r="K248" t="s">
        <v>18</v>
      </c>
      <c r="L248">
        <v>436.8</v>
      </c>
      <c r="M248">
        <v>777.9</v>
      </c>
    </row>
    <row r="249" spans="1:20" x14ac:dyDescent="0.25">
      <c r="A249" t="s">
        <v>16</v>
      </c>
      <c r="E249">
        <v>806</v>
      </c>
      <c r="F249" t="s">
        <v>18</v>
      </c>
      <c r="G249" t="s">
        <v>18</v>
      </c>
      <c r="H249" t="s">
        <v>18</v>
      </c>
      <c r="I249">
        <v>353.3</v>
      </c>
      <c r="J249">
        <v>470.3</v>
      </c>
      <c r="K249" t="s">
        <v>18</v>
      </c>
      <c r="L249">
        <v>406.2</v>
      </c>
      <c r="M249">
        <v>798.9</v>
      </c>
    </row>
    <row r="251" spans="1:20" x14ac:dyDescent="0.25">
      <c r="A251" s="2" t="s">
        <v>21</v>
      </c>
    </row>
    <row r="252" spans="1:20" x14ac:dyDescent="0.25">
      <c r="A252" s="3"/>
    </row>
    <row r="253" spans="1:20" x14ac:dyDescent="0.25">
      <c r="A253" s="3" t="s">
        <v>25</v>
      </c>
    </row>
    <row r="254" spans="1:20" x14ac:dyDescent="0.25">
      <c r="A254" s="3" t="s">
        <v>26</v>
      </c>
    </row>
    <row r="255" spans="1:20" x14ac:dyDescent="0.25">
      <c r="A255" s="3" t="s">
        <v>27</v>
      </c>
    </row>
    <row r="256" spans="1:20" x14ac:dyDescent="0.25">
      <c r="A256" s="3"/>
    </row>
    <row r="257" spans="1:15" x14ac:dyDescent="0.25">
      <c r="A257" s="1" t="s">
        <v>35</v>
      </c>
      <c r="N257" t="s">
        <v>35</v>
      </c>
    </row>
    <row r="258" spans="1:15" x14ac:dyDescent="0.25">
      <c r="A258" s="3" t="s">
        <v>24</v>
      </c>
      <c r="E258">
        <v>-15</v>
      </c>
      <c r="N258" t="s">
        <v>29</v>
      </c>
    </row>
    <row r="259" spans="1:15" x14ac:dyDescent="0.25">
      <c r="A259" s="3" t="s">
        <v>34</v>
      </c>
      <c r="E259">
        <v>10</v>
      </c>
      <c r="N259" t="s">
        <v>28</v>
      </c>
      <c r="O259" t="s">
        <v>71</v>
      </c>
    </row>
    <row r="260" spans="1:15" x14ac:dyDescent="0.25">
      <c r="A260" s="3" t="s">
        <v>22</v>
      </c>
      <c r="D260" t="s">
        <v>2</v>
      </c>
      <c r="E260" t="s">
        <v>9</v>
      </c>
      <c r="F260" t="s">
        <v>8</v>
      </c>
      <c r="G260" t="s">
        <v>7</v>
      </c>
      <c r="H260" t="s">
        <v>6</v>
      </c>
      <c r="I260" t="s">
        <v>5</v>
      </c>
      <c r="J260" t="s">
        <v>4</v>
      </c>
      <c r="K260" t="s">
        <v>3</v>
      </c>
      <c r="N260" t="s">
        <v>9</v>
      </c>
      <c r="O260" t="s">
        <v>32</v>
      </c>
    </row>
    <row r="261" spans="1:15" x14ac:dyDescent="0.25">
      <c r="A261" s="3" t="s">
        <v>23</v>
      </c>
      <c r="D261">
        <f>((714.7-2.653333*E258-0.009333333*(E258^2))/10000)*(E259*1000)</f>
        <v>752.39999507499999</v>
      </c>
      <c r="E261">
        <f>((733.9-2.78*E258+0.02*(E258^2))/10000)*(E259*1000)</f>
        <v>780.09999999999991</v>
      </c>
      <c r="F261">
        <f>((1125.7-2.186667*E258+0.05733333*(E258^2))/10000)*(E259*1000)</f>
        <v>1171.4000042500002</v>
      </c>
      <c r="G261">
        <f>((318.6327-0.1065385*E258+0.019*(E258^2))/10000)*(E259*1000)</f>
        <v>324.50577749999997</v>
      </c>
      <c r="H261">
        <f>((410.3+0.1*E258+0.04*(E258^2))/10000)*(E259*1000)</f>
        <v>417.79999999999995</v>
      </c>
      <c r="J261">
        <f>AVERAGE(L246:L249)/10000*(E259*1000)</f>
        <v>430.02500000000003</v>
      </c>
      <c r="K261">
        <f>((758.2788+0.4375641*E258+0.03633333*(E258^2))/10000)*(E259*1000)</f>
        <v>759.89033775000007</v>
      </c>
      <c r="N261" t="s">
        <v>17</v>
      </c>
      <c r="O261" t="s">
        <v>31</v>
      </c>
    </row>
    <row r="262" spans="1:15" x14ac:dyDescent="0.25">
      <c r="A262" s="3"/>
      <c r="N262" t="s">
        <v>70</v>
      </c>
      <c r="O262" t="s">
        <v>72</v>
      </c>
    </row>
    <row r="263" spans="1:15" x14ac:dyDescent="0.25">
      <c r="A263" s="3" t="s">
        <v>54</v>
      </c>
      <c r="N263" t="s">
        <v>7</v>
      </c>
      <c r="O263" t="s">
        <v>30</v>
      </c>
    </row>
    <row r="264" spans="1:15" x14ac:dyDescent="0.25">
      <c r="A264" s="3"/>
      <c r="N264" t="s">
        <v>6</v>
      </c>
      <c r="O264" t="s">
        <v>33</v>
      </c>
    </row>
    <row r="265" spans="1:15" x14ac:dyDescent="0.25">
      <c r="A265" s="3"/>
      <c r="N265" t="s">
        <v>5</v>
      </c>
      <c r="O265">
        <v>496.6</v>
      </c>
    </row>
    <row r="266" spans="1:15" x14ac:dyDescent="0.25">
      <c r="A266" s="3"/>
      <c r="N266" t="s">
        <v>4</v>
      </c>
    </row>
    <row r="284" spans="14:15" x14ac:dyDescent="0.25">
      <c r="N284" t="s">
        <v>77</v>
      </c>
    </row>
    <row r="285" spans="14:15" x14ac:dyDescent="0.25">
      <c r="N285" t="s">
        <v>75</v>
      </c>
    </row>
    <row r="286" spans="14:15" x14ac:dyDescent="0.25">
      <c r="N286" t="s">
        <v>28</v>
      </c>
      <c r="O286" t="s">
        <v>36</v>
      </c>
    </row>
    <row r="287" spans="14:15" x14ac:dyDescent="0.25">
      <c r="N287" t="s">
        <v>9</v>
      </c>
      <c r="O287" t="s">
        <v>37</v>
      </c>
    </row>
    <row r="288" spans="14:15" x14ac:dyDescent="0.25">
      <c r="N288" t="s">
        <v>17</v>
      </c>
      <c r="O288" t="s">
        <v>38</v>
      </c>
    </row>
    <row r="289" spans="14:25" x14ac:dyDescent="0.25">
      <c r="N289" t="s">
        <v>70</v>
      </c>
      <c r="O289" t="s">
        <v>76</v>
      </c>
    </row>
    <row r="290" spans="14:25" x14ac:dyDescent="0.25">
      <c r="N290" t="s">
        <v>7</v>
      </c>
      <c r="O290" t="s">
        <v>39</v>
      </c>
    </row>
    <row r="291" spans="14:25" x14ac:dyDescent="0.25">
      <c r="N291" t="s">
        <v>6</v>
      </c>
      <c r="O291" t="s">
        <v>40</v>
      </c>
    </row>
    <row r="292" spans="14:25" x14ac:dyDescent="0.25">
      <c r="N292" t="s">
        <v>5</v>
      </c>
      <c r="O292" t="s">
        <v>41</v>
      </c>
    </row>
    <row r="293" spans="14:25" x14ac:dyDescent="0.25">
      <c r="N293" t="s">
        <v>4</v>
      </c>
      <c r="O293" t="s">
        <v>42</v>
      </c>
    </row>
    <row r="294" spans="14:25" x14ac:dyDescent="0.25">
      <c r="N294" t="s">
        <v>3</v>
      </c>
      <c r="O294" t="s">
        <v>43</v>
      </c>
    </row>
    <row r="296" spans="14:25" x14ac:dyDescent="0.25">
      <c r="N296" t="s">
        <v>46</v>
      </c>
    </row>
    <row r="297" spans="14:25" x14ac:dyDescent="0.25">
      <c r="N297" t="s">
        <v>66</v>
      </c>
    </row>
    <row r="298" spans="14:25" x14ac:dyDescent="0.25">
      <c r="N298" t="s">
        <v>28</v>
      </c>
      <c r="O298" t="s">
        <v>45</v>
      </c>
      <c r="Y298">
        <f>332333400*((D3*1000)^-2.001721)</f>
        <v>328.40593013066763</v>
      </c>
    </row>
    <row r="299" spans="14:25" x14ac:dyDescent="0.25">
      <c r="N299" t="s">
        <v>9</v>
      </c>
      <c r="O299" t="s">
        <v>47</v>
      </c>
      <c r="Y299">
        <f>279984400*((D3*1000)^-1.98156)</f>
        <v>318.0195613844524</v>
      </c>
    </row>
    <row r="300" spans="14:25" x14ac:dyDescent="0.25">
      <c r="N300" t="s">
        <v>17</v>
      </c>
      <c r="O300" t="s">
        <v>48</v>
      </c>
      <c r="Y300">
        <f>133576300*((D3*1000)^-1.997213)</f>
        <v>136.17281316272096</v>
      </c>
    </row>
    <row r="301" spans="14:25" x14ac:dyDescent="0.25">
      <c r="N301" t="s">
        <v>70</v>
      </c>
      <c r="O301" t="s">
        <v>73</v>
      </c>
      <c r="Y301">
        <f>421713800*((D3*1000)^-2.000419)</f>
        <v>420.49497758975645</v>
      </c>
    </row>
    <row r="302" spans="14:25" x14ac:dyDescent="0.25">
      <c r="N302" t="s">
        <v>7</v>
      </c>
      <c r="O302" t="s">
        <v>49</v>
      </c>
      <c r="Y302">
        <f>1738450000*((D3*1000)^-1.996867)</f>
        <v>1776.4836073093297</v>
      </c>
    </row>
    <row r="303" spans="14:25" x14ac:dyDescent="0.25">
      <c r="N303" t="s">
        <v>6</v>
      </c>
      <c r="O303" t="s">
        <v>50</v>
      </c>
      <c r="Y303">
        <f>1049419000*((D3*1000)^-1.99696)</f>
        <v>1071.6893698625686</v>
      </c>
    </row>
    <row r="304" spans="14:25" x14ac:dyDescent="0.25">
      <c r="N304" t="s">
        <v>5</v>
      </c>
      <c r="O304" t="s">
        <v>51</v>
      </c>
      <c r="Y304">
        <f>487632700*((D3*1000)^-1.906152)</f>
        <v>932.47419288711808</v>
      </c>
    </row>
    <row r="305" spans="14:25" x14ac:dyDescent="0.25">
      <c r="N305" t="s">
        <v>4</v>
      </c>
      <c r="O305" t="s">
        <v>52</v>
      </c>
      <c r="Y305">
        <f>87480040*((D3*1000)^-1.613877)</f>
        <v>1259.7314529400103</v>
      </c>
    </row>
    <row r="306" spans="14:25" x14ac:dyDescent="0.25">
      <c r="N306" t="s">
        <v>3</v>
      </c>
      <c r="O306" t="s">
        <v>53</v>
      </c>
      <c r="Y306">
        <f>317370900*((D3*1000)^-1.997057)</f>
        <v>323.88892898867761</v>
      </c>
    </row>
    <row r="308" spans="14:25" x14ac:dyDescent="0.25">
      <c r="N308" t="s">
        <v>29</v>
      </c>
    </row>
    <row r="309" spans="14:25" x14ac:dyDescent="0.25">
      <c r="N309" t="s">
        <v>74</v>
      </c>
    </row>
    <row r="310" spans="14:25" x14ac:dyDescent="0.25">
      <c r="N310" t="s">
        <v>58</v>
      </c>
    </row>
    <row r="311" spans="14:25" x14ac:dyDescent="0.25">
      <c r="N311" t="s">
        <v>28</v>
      </c>
      <c r="O311" t="s">
        <v>78</v>
      </c>
      <c r="Y311">
        <f>110.215+0.743372*D4+0.004145182*(D4^2)</f>
        <v>91.64450380000001</v>
      </c>
    </row>
    <row r="312" spans="14:25" x14ac:dyDescent="0.25">
      <c r="N312" t="s">
        <v>9</v>
      </c>
      <c r="O312" t="s">
        <v>57</v>
      </c>
      <c r="Y312">
        <f>113.4142+0.9172406*D4+0.001530556*(D4^2)</f>
        <v>87.274482399999997</v>
      </c>
    </row>
    <row r="313" spans="14:25" x14ac:dyDescent="0.25">
      <c r="N313" t="s">
        <v>17</v>
      </c>
      <c r="O313" t="s">
        <v>59</v>
      </c>
      <c r="Y313">
        <f>109.3865+0.566642*D4-0.003941858*(D4^2)</f>
        <v>88.839567799999998</v>
      </c>
    </row>
    <row r="314" spans="14:25" x14ac:dyDescent="0.25">
      <c r="N314" t="s">
        <v>70</v>
      </c>
      <c r="O314" t="s">
        <v>79</v>
      </c>
      <c r="Y314">
        <f>78.16584-1.664687*D4-0.01393839*(D4^2)</f>
        <v>115.561899</v>
      </c>
    </row>
    <row r="315" spans="14:25" x14ac:dyDescent="0.25">
      <c r="N315" t="s">
        <v>7</v>
      </c>
      <c r="O315" t="s">
        <v>60</v>
      </c>
      <c r="Y315">
        <f>105.0656+0.2289621*D4-0.007219671*(D4^2)</f>
        <v>91.699033099999994</v>
      </c>
    </row>
    <row r="316" spans="14:25" x14ac:dyDescent="0.25">
      <c r="N316" t="s">
        <v>6</v>
      </c>
      <c r="O316" t="s">
        <v>61</v>
      </c>
      <c r="Y316">
        <f>106.5418+0.2815766*D4-0.01024244*(D4^2)</f>
        <v>88.876305999999985</v>
      </c>
    </row>
    <row r="317" spans="14:25" x14ac:dyDescent="0.25">
      <c r="N317" t="s">
        <v>5</v>
      </c>
    </row>
    <row r="318" spans="14:25" x14ac:dyDescent="0.25">
      <c r="N318" t="s">
        <v>4</v>
      </c>
      <c r="O318" t="s">
        <v>55</v>
      </c>
      <c r="Y318">
        <f>129.8762+2.570304*D4+0.03857069*(D4^2)</f>
        <v>87.48070100000001</v>
      </c>
    </row>
    <row r="319" spans="14:25" x14ac:dyDescent="0.25">
      <c r="N319" t="s">
        <v>3</v>
      </c>
      <c r="O319" t="s">
        <v>56</v>
      </c>
      <c r="Y319">
        <f>100.9427-0.05694906*D4-0.007978448*(D4^2)</f>
        <v>95.470568599999993</v>
      </c>
    </row>
    <row r="321" spans="14:17" x14ac:dyDescent="0.25">
      <c r="N321" t="s">
        <v>67</v>
      </c>
    </row>
    <row r="322" spans="14:17" x14ac:dyDescent="0.25">
      <c r="N322" t="s">
        <v>68</v>
      </c>
    </row>
    <row r="323" spans="14:17" x14ac:dyDescent="0.25">
      <c r="N323" t="s">
        <v>34</v>
      </c>
      <c r="Q323">
        <v>0.1</v>
      </c>
    </row>
    <row r="324" spans="14:17" x14ac:dyDescent="0.25">
      <c r="N324" t="s">
        <v>69</v>
      </c>
      <c r="Q324">
        <f>1000000*((Q323*1000)^-2)</f>
        <v>100</v>
      </c>
    </row>
  </sheetData>
  <mergeCells count="27">
    <mergeCell ref="B25:W25"/>
    <mergeCell ref="B18:W18"/>
    <mergeCell ref="B19:W19"/>
    <mergeCell ref="B20:W20"/>
    <mergeCell ref="B21:W21"/>
    <mergeCell ref="B22:W22"/>
    <mergeCell ref="B23:W23"/>
    <mergeCell ref="B24:W24"/>
    <mergeCell ref="V6:X6"/>
    <mergeCell ref="A13:B13"/>
    <mergeCell ref="A14:B14"/>
    <mergeCell ref="A15:B15"/>
    <mergeCell ref="A16:B16"/>
    <mergeCell ref="C5:D5"/>
    <mergeCell ref="C6:D6"/>
    <mergeCell ref="A7:B7"/>
    <mergeCell ref="A8:B8"/>
    <mergeCell ref="A9:B9"/>
    <mergeCell ref="A10:B10"/>
    <mergeCell ref="A11:B11"/>
    <mergeCell ref="A12:B12"/>
    <mergeCell ref="A3:C3"/>
    <mergeCell ref="A4:C4"/>
    <mergeCell ref="F2:P2"/>
    <mergeCell ref="F3:P3"/>
    <mergeCell ref="F4:P4"/>
    <mergeCell ref="A2:D2"/>
  </mergeCells>
  <hyperlinks>
    <hyperlink ref="B20" r:id="rId1" display="Facebook: Hydrocarbon Conspiracy" xr:uid="{F593554C-B82E-4E0F-A610-EB89F29C8CED}"/>
    <hyperlink ref="B19" r:id="rId2" xr:uid="{7A341096-620F-434A-8E49-BC306A9D803E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2025-01-11T11:41:23Z</dcterms:modified>
</cp:coreProperties>
</file>