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Hydrocarbon Conspiracy\Website\"/>
    </mc:Choice>
  </mc:AlternateContent>
  <xr:revisionPtr revIDLastSave="0" documentId="13_ncr:1_{8CDFA446-7122-4C15-8BDD-E0167A38A9BD}" xr6:coauthVersionLast="47" xr6:coauthVersionMax="47" xr10:uidLastSave="{00000000-0000-0000-0000-000000000000}"/>
  <bookViews>
    <workbookView xWindow="41910" yWindow="1095" windowWidth="19170" windowHeight="20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111" i="1"/>
  <c r="D96" i="1"/>
  <c r="D81" i="1"/>
  <c r="D67" i="1"/>
  <c r="D53" i="1"/>
  <c r="D39" i="1"/>
  <c r="D25" i="1"/>
  <c r="D11" i="1"/>
  <c r="D112" i="1"/>
  <c r="D97" i="1"/>
  <c r="D82" i="1"/>
  <c r="D68" i="1"/>
  <c r="D54" i="1"/>
  <c r="D40" i="1"/>
  <c r="D26" i="1"/>
  <c r="D12" i="1"/>
  <c r="D113" i="1"/>
  <c r="D98" i="1"/>
  <c r="D114" i="1" l="1"/>
  <c r="D110" i="1"/>
  <c r="D109" i="1"/>
  <c r="D108" i="1"/>
  <c r="D107" i="1"/>
  <c r="D106" i="1"/>
  <c r="D105" i="1"/>
  <c r="D104" i="1"/>
  <c r="C115" i="1"/>
  <c r="D99" i="1"/>
  <c r="D95" i="1"/>
  <c r="D94" i="1"/>
  <c r="D93" i="1"/>
  <c r="D92" i="1"/>
  <c r="D91" i="1"/>
  <c r="D90" i="1"/>
  <c r="D89" i="1"/>
  <c r="C85" i="1"/>
  <c r="C100" i="1"/>
  <c r="D84" i="1"/>
  <c r="D80" i="1"/>
  <c r="D79" i="1"/>
  <c r="D78" i="1"/>
  <c r="D77" i="1"/>
  <c r="D76" i="1"/>
  <c r="D75" i="1"/>
  <c r="D74" i="1"/>
  <c r="D85" i="1" s="1"/>
  <c r="D69" i="1"/>
  <c r="D66" i="1"/>
  <c r="D65" i="1"/>
  <c r="D64" i="1"/>
  <c r="D63" i="1"/>
  <c r="D62" i="1"/>
  <c r="D61" i="1"/>
  <c r="D60" i="1"/>
  <c r="D55" i="1"/>
  <c r="D52" i="1"/>
  <c r="D51" i="1"/>
  <c r="D50" i="1"/>
  <c r="D49" i="1"/>
  <c r="D48" i="1"/>
  <c r="D47" i="1"/>
  <c r="D46" i="1"/>
  <c r="C70" i="1"/>
  <c r="C56" i="1"/>
  <c r="D33" i="1"/>
  <c r="D115" i="1" l="1"/>
  <c r="D100" i="1"/>
  <c r="D70" i="1"/>
  <c r="D56" i="1"/>
  <c r="D41" i="1"/>
  <c r="D38" i="1"/>
  <c r="D37" i="1"/>
  <c r="D36" i="1"/>
  <c r="D35" i="1"/>
  <c r="D34" i="1"/>
  <c r="D32" i="1"/>
  <c r="C42" i="1"/>
  <c r="D13" i="1"/>
  <c r="D10" i="1"/>
  <c r="D9" i="1"/>
  <c r="D8" i="1"/>
  <c r="D7" i="1"/>
  <c r="D6" i="1"/>
  <c r="D5" i="1"/>
  <c r="D4" i="1"/>
  <c r="C28" i="1"/>
  <c r="D27" i="1"/>
  <c r="D24" i="1"/>
  <c r="D23" i="1"/>
  <c r="D22" i="1"/>
  <c r="D21" i="1"/>
  <c r="D20" i="1"/>
  <c r="D19" i="1"/>
  <c r="D18" i="1"/>
  <c r="C14" i="1"/>
  <c r="D42" i="1" l="1"/>
  <c r="D28" i="1"/>
  <c r="D14" i="1"/>
</calcChain>
</file>

<file path=xl/sharedStrings.xml><?xml version="1.0" encoding="utf-8"?>
<sst xmlns="http://schemas.openxmlformats.org/spreadsheetml/2006/main" count="193" uniqueCount="69">
  <si>
    <t>R410A system charge (g):</t>
  </si>
  <si>
    <t>Refrigerant:</t>
  </si>
  <si>
    <t>Volumetric %:</t>
  </si>
  <si>
    <t>Resulting Weight (g):</t>
  </si>
  <si>
    <t>R32</t>
  </si>
  <si>
    <t>HC32</t>
  </si>
  <si>
    <t>Minus 50</t>
  </si>
  <si>
    <t>Minus 60</t>
  </si>
  <si>
    <t>R290</t>
  </si>
  <si>
    <t>Minus 30</t>
  </si>
  <si>
    <t>Minus 30 EC</t>
  </si>
  <si>
    <t>R600A</t>
  </si>
  <si>
    <t>System total equivalent charge:</t>
  </si>
  <si>
    <t>R32 system charge (g):</t>
  </si>
  <si>
    <t>R404A system charge (g):</t>
  </si>
  <si>
    <t>Capillary systems: 50% R32</t>
  </si>
  <si>
    <t>EEV / TXV systems: 30% R32</t>
  </si>
  <si>
    <t>R143A is part of R404A and has an atmospheric boil temperature of -47.6°C</t>
  </si>
  <si>
    <t>Notes / Recommendations:</t>
  </si>
  <si>
    <t>R22 system charge (g):</t>
  </si>
  <si>
    <t>R32 mixture is a concept / experimental.</t>
  </si>
  <si>
    <t>Recommend for hot climates: 10.366% R32 + 89.634% Minus 30, 50% R290 + 50% Minus 30, 100% R290</t>
  </si>
  <si>
    <t>R407C system charge (g):</t>
  </si>
  <si>
    <t>R134A system charge (g):</t>
  </si>
  <si>
    <t>R1234ZE system charge (g):</t>
  </si>
  <si>
    <t>R1234YF system charge (g):</t>
  </si>
  <si>
    <t>Cold climate refrigerants show reduced efficiency when any part of the system is at or above 32°C</t>
  </si>
  <si>
    <t>If performance is required, a system total equivalent charge of as much as 106% may be required.</t>
  </si>
  <si>
    <t>It is suspected that A/C manufacturers understate their recommended gas charges.</t>
  </si>
  <si>
    <t>M20</t>
  </si>
  <si>
    <t>M60</t>
  </si>
  <si>
    <t>M30</t>
  </si>
  <si>
    <t>Info &amp; Disclaimer:</t>
  </si>
  <si>
    <t>www.hydrocarbonconspiracy.info</t>
  </si>
  <si>
    <t>Facebook: "Hydrocarbon Conspiracy"</t>
  </si>
  <si>
    <t>My technical research is based on much analysis of publicly available data, but isn’t endorsed by anyone else.</t>
  </si>
  <si>
    <t>Safety: Be sure to consider practical limits and ventilation when charging ducted air conditioners.</t>
  </si>
  <si>
    <t>If adding ventilation to the roof space, ensure condensation and refrigerant pipes are wrapped in insulation.</t>
  </si>
  <si>
    <t>Climate information:</t>
  </si>
  <si>
    <t>Reverse cycle with solar: Use cold climate blends.</t>
  </si>
  <si>
    <t>Reverse cycle without solar: Use hot climate blends.</t>
  </si>
  <si>
    <t>Cooling only air conditioners: Use only hot climate blends.</t>
  </si>
  <si>
    <t>30% R32, 55% Minus 60 or HC32 or Minus 50, 15% R600A</t>
  </si>
  <si>
    <t>50% R32, 40% Minus 60 or HC32 or Minus 50, 10% R600A</t>
  </si>
  <si>
    <t>Capillary R32:</t>
  </si>
  <si>
    <t>EEV / TXV R32 or any R410A:</t>
  </si>
  <si>
    <t>Suggested hybrid blend for R32 / R410A reverse cycle air conditioners:</t>
  </si>
  <si>
    <t>Using cold climate blends in hotter climates will require a slightly larger refrigeration / air conditioner system to compensate for capacity loss.</t>
  </si>
  <si>
    <t>Recommended remainder for hot climates: M20 or M60, R290, Minus 30</t>
  </si>
  <si>
    <t>Recommended remainder for colder climates: Minus 60, HC32, Minus 50</t>
  </si>
  <si>
    <t>Recommended for snowy climates: 100% Minus 60</t>
  </si>
  <si>
    <t>Recommended remainder for colder climates: HC32, Minus 50, Minus 60</t>
  </si>
  <si>
    <t>Recommended remainder for hot climates: R32 or HC32 + M20 or M60, R290, Minus 30</t>
  </si>
  <si>
    <t>Recommended for snowy climates: 100% Minus 50</t>
  </si>
  <si>
    <t>Recommended for colder climates: 50% Minus 60 + 50% Minus 30, 100% Minus 50</t>
  </si>
  <si>
    <t>Recommended for hot climates: 11.482% R32 + 89.518% Minus 30, 50% R290 + 50% Minus 30, 100% R290</t>
  </si>
  <si>
    <t>Recommended for snowy climates: HC32, Minus 50</t>
  </si>
  <si>
    <t>Minus 30 EC recommended for hot climates.</t>
  </si>
  <si>
    <t>Default values:</t>
  </si>
  <si>
    <t>R32 4.9%</t>
  </si>
  <si>
    <t>Minus 30 EC 95.1%</t>
  </si>
  <si>
    <t>R32 11.48%</t>
  </si>
  <si>
    <t>Minus 30 EC 88.52%</t>
  </si>
  <si>
    <t>R32 10.365%</t>
  </si>
  <si>
    <t>Minus 30 EC 89.635%</t>
  </si>
  <si>
    <t>R32 14.97%</t>
  </si>
  <si>
    <t>HC32 85.03%</t>
  </si>
  <si>
    <t>30% R32</t>
  </si>
  <si>
    <t>The default figures provided are for an experimental universal blend for R410A, R32, hot, and cold climates.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</si>
</sst>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1" applyFill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2"/>
  <sheetViews>
    <sheetView tabSelected="1" workbookViewId="0">
      <selection activeCell="F14" sqref="F14"/>
    </sheetView>
  </sheetViews>
  <sheetFormatPr defaultRowHeight="15" x14ac:dyDescent="0.25"/>
  <cols>
    <col min="2" max="2" width="29.5703125" customWidth="1"/>
    <col min="3" max="3" width="15" customWidth="1"/>
    <col min="4" max="4" width="21.5703125" customWidth="1"/>
  </cols>
  <sheetData>
    <row r="2" spans="2:6" x14ac:dyDescent="0.25">
      <c r="B2" s="1" t="s">
        <v>13</v>
      </c>
      <c r="C2" s="2"/>
      <c r="D2" s="3">
        <v>1000</v>
      </c>
      <c r="F2" t="s">
        <v>18</v>
      </c>
    </row>
    <row r="3" spans="2:6" x14ac:dyDescent="0.25">
      <c r="B3" s="4" t="s">
        <v>1</v>
      </c>
      <c r="C3" s="5" t="s">
        <v>2</v>
      </c>
      <c r="D3" s="5" t="s">
        <v>3</v>
      </c>
      <c r="F3" t="s">
        <v>15</v>
      </c>
    </row>
    <row r="4" spans="2:6" x14ac:dyDescent="0.25">
      <c r="B4" s="6" t="s">
        <v>4</v>
      </c>
      <c r="C4" s="3">
        <v>27</v>
      </c>
      <c r="D4" s="3">
        <f>(D2/100)*C4/(960000/960000)</f>
        <v>270</v>
      </c>
      <c r="F4" t="s">
        <v>16</v>
      </c>
    </row>
    <row r="5" spans="2:6" x14ac:dyDescent="0.25">
      <c r="B5" s="7" t="s">
        <v>5</v>
      </c>
      <c r="C5" s="8">
        <v>43</v>
      </c>
      <c r="D5" s="8">
        <f>(D2/100)*C5/(960000/497659)</f>
        <v>222.90976041666664</v>
      </c>
      <c r="F5" t="s">
        <v>48</v>
      </c>
    </row>
    <row r="6" spans="2:6" x14ac:dyDescent="0.25">
      <c r="B6" s="7" t="s">
        <v>29</v>
      </c>
      <c r="C6" s="8">
        <v>0</v>
      </c>
      <c r="D6" s="8">
        <f>(D2/100)*C6/(960000/528966)</f>
        <v>0</v>
      </c>
      <c r="F6" t="s">
        <v>49</v>
      </c>
    </row>
    <row r="7" spans="2:6" x14ac:dyDescent="0.25">
      <c r="B7" s="7" t="s">
        <v>30</v>
      </c>
      <c r="C7" s="8">
        <v>0</v>
      </c>
      <c r="D7" s="8">
        <f>(D2/100)*C7/(960000/533080)</f>
        <v>0</v>
      </c>
      <c r="F7" t="s">
        <v>50</v>
      </c>
    </row>
    <row r="8" spans="2:6" x14ac:dyDescent="0.25">
      <c r="B8" s="6" t="s">
        <v>6</v>
      </c>
      <c r="C8" s="3">
        <v>0</v>
      </c>
      <c r="D8" s="3">
        <f>(D2/100)*C8/(960000/571648)</f>
        <v>0</v>
      </c>
      <c r="F8" t="s">
        <v>26</v>
      </c>
    </row>
    <row r="9" spans="2:6" x14ac:dyDescent="0.25">
      <c r="B9" s="6" t="s">
        <v>7</v>
      </c>
      <c r="C9" s="3">
        <v>22</v>
      </c>
      <c r="D9" s="3">
        <f>(D2/100)*C9/(960000/569447)</f>
        <v>130.49827083333332</v>
      </c>
      <c r="F9" t="s">
        <v>68</v>
      </c>
    </row>
    <row r="10" spans="2:6" x14ac:dyDescent="0.25">
      <c r="B10" s="6" t="s">
        <v>8</v>
      </c>
      <c r="C10" s="8">
        <v>0</v>
      </c>
      <c r="D10" s="3">
        <f>(D2/100)*C10/(960000/580000)</f>
        <v>0</v>
      </c>
    </row>
    <row r="11" spans="2:6" x14ac:dyDescent="0.25">
      <c r="B11" s="6" t="s">
        <v>9</v>
      </c>
      <c r="C11" s="8">
        <v>0</v>
      </c>
      <c r="D11" s="3">
        <f>(D2/100)*C11/(960000/554651)</f>
        <v>0</v>
      </c>
      <c r="F11" t="s">
        <v>28</v>
      </c>
    </row>
    <row r="12" spans="2:6" x14ac:dyDescent="0.25">
      <c r="B12" s="6" t="s">
        <v>10</v>
      </c>
      <c r="C12" s="8">
        <v>0</v>
      </c>
      <c r="D12" s="3">
        <f>(D2/100)*C12/(960000/553836)</f>
        <v>0</v>
      </c>
      <c r="F12" t="s">
        <v>27</v>
      </c>
    </row>
    <row r="13" spans="2:6" x14ac:dyDescent="0.25">
      <c r="B13" s="6" t="s">
        <v>11</v>
      </c>
      <c r="C13" s="3">
        <v>8</v>
      </c>
      <c r="D13" s="3">
        <f>(D2/100)*C13/(960000/550000)</f>
        <v>45.833333333333336</v>
      </c>
    </row>
    <row r="14" spans="2:6" x14ac:dyDescent="0.25">
      <c r="B14" s="4" t="s">
        <v>12</v>
      </c>
      <c r="C14" s="3" t="str">
        <f>C4+C5+C6+C7+C8+C9+C10+C11+C12+C13&amp;"%"</f>
        <v>100%</v>
      </c>
      <c r="D14" s="3" t="str">
        <f>D4+D5+D6+D7+D8+D9+D10+D11+D12+D13&amp;"g"</f>
        <v>669.241364583333g</v>
      </c>
    </row>
    <row r="16" spans="2:6" x14ac:dyDescent="0.25">
      <c r="B16" s="1" t="s">
        <v>0</v>
      </c>
      <c r="C16" s="2"/>
      <c r="D16" s="3">
        <v>1000</v>
      </c>
      <c r="F16" t="s">
        <v>18</v>
      </c>
    </row>
    <row r="17" spans="2:6" x14ac:dyDescent="0.25">
      <c r="B17" s="4" t="s">
        <v>1</v>
      </c>
      <c r="C17" s="5" t="s">
        <v>2</v>
      </c>
      <c r="D17" s="5" t="s">
        <v>3</v>
      </c>
      <c r="F17" t="s">
        <v>67</v>
      </c>
    </row>
    <row r="18" spans="2:6" x14ac:dyDescent="0.25">
      <c r="B18" s="6" t="s">
        <v>4</v>
      </c>
      <c r="C18" s="3">
        <v>27</v>
      </c>
      <c r="D18" s="3">
        <f>(D16/100)*C18/(1058600/960000)</f>
        <v>244.85169091252595</v>
      </c>
      <c r="F18" t="s">
        <v>48</v>
      </c>
    </row>
    <row r="19" spans="2:6" x14ac:dyDescent="0.25">
      <c r="B19" s="7" t="s">
        <v>5</v>
      </c>
      <c r="C19" s="8">
        <v>43</v>
      </c>
      <c r="D19" s="8">
        <f>(D16/100)*C19/(1058600/497659)</f>
        <v>202.14752503306255</v>
      </c>
      <c r="F19" t="s">
        <v>51</v>
      </c>
    </row>
    <row r="20" spans="2:6" x14ac:dyDescent="0.25">
      <c r="B20" s="7" t="s">
        <v>29</v>
      </c>
      <c r="C20" s="8">
        <v>0</v>
      </c>
      <c r="D20" s="8">
        <f>(D16/100)*C20/(1058600/528966)</f>
        <v>0</v>
      </c>
      <c r="F20" t="s">
        <v>50</v>
      </c>
    </row>
    <row r="21" spans="2:6" x14ac:dyDescent="0.25">
      <c r="B21" s="7" t="s">
        <v>30</v>
      </c>
      <c r="C21" s="8">
        <v>0</v>
      </c>
      <c r="D21" s="8">
        <f>(D16/100)*C21/(1058600/533080)</f>
        <v>0</v>
      </c>
      <c r="F21" t="s">
        <v>26</v>
      </c>
    </row>
    <row r="22" spans="2:6" x14ac:dyDescent="0.25">
      <c r="B22" s="6" t="s">
        <v>6</v>
      </c>
      <c r="C22" s="3">
        <v>0</v>
      </c>
      <c r="D22" s="3">
        <f>(D16/100)*C22/(1058600/571648)</f>
        <v>0</v>
      </c>
      <c r="F22" t="s">
        <v>68</v>
      </c>
    </row>
    <row r="23" spans="2:6" x14ac:dyDescent="0.25">
      <c r="B23" s="6" t="s">
        <v>7</v>
      </c>
      <c r="C23" s="3">
        <v>22</v>
      </c>
      <c r="D23" s="3">
        <f>(D16/100)*C23/(1058600/569447)</f>
        <v>118.34341583223124</v>
      </c>
    </row>
    <row r="24" spans="2:6" x14ac:dyDescent="0.25">
      <c r="B24" s="6" t="s">
        <v>8</v>
      </c>
      <c r="C24" s="8">
        <v>0</v>
      </c>
      <c r="D24" s="3">
        <f>(D16/100)*C24/(1058600/580000)</f>
        <v>0</v>
      </c>
    </row>
    <row r="25" spans="2:6" x14ac:dyDescent="0.25">
      <c r="B25" s="6" t="s">
        <v>9</v>
      </c>
      <c r="C25" s="8">
        <v>0</v>
      </c>
      <c r="D25" s="3">
        <f>(D16/100)*C25/(1058600/554651)</f>
        <v>0</v>
      </c>
    </row>
    <row r="26" spans="2:6" x14ac:dyDescent="0.25">
      <c r="B26" s="6" t="s">
        <v>10</v>
      </c>
      <c r="C26" s="8">
        <v>0</v>
      </c>
      <c r="D26" s="3">
        <f>(D16/100)*C26/(1058600/553836)</f>
        <v>0</v>
      </c>
    </row>
    <row r="27" spans="2:6" x14ac:dyDescent="0.25">
      <c r="B27" s="6" t="s">
        <v>11</v>
      </c>
      <c r="C27" s="3">
        <v>8</v>
      </c>
      <c r="D27" s="3">
        <f>(D16/100)*C27/(1058600/550000)</f>
        <v>41.564330247496699</v>
      </c>
    </row>
    <row r="28" spans="2:6" x14ac:dyDescent="0.25">
      <c r="B28" s="4" t="s">
        <v>12</v>
      </c>
      <c r="C28" s="3" t="str">
        <f>C18+C19+C20+C21+C22+C23+C24+C25+C26+C27&amp;"%"</f>
        <v>100%</v>
      </c>
      <c r="D28" s="3" t="str">
        <f>D18+D19+D20+D21+D22+D23+D24+D25+D26+D27&amp;"g"</f>
        <v>606.906962025316g</v>
      </c>
    </row>
    <row r="30" spans="2:6" x14ac:dyDescent="0.25">
      <c r="B30" s="1" t="s">
        <v>14</v>
      </c>
      <c r="C30" s="2"/>
      <c r="D30" s="3">
        <v>1000</v>
      </c>
      <c r="F30" t="s">
        <v>18</v>
      </c>
    </row>
    <row r="31" spans="2:6" x14ac:dyDescent="0.25">
      <c r="B31" s="4" t="s">
        <v>1</v>
      </c>
      <c r="C31" s="5" t="s">
        <v>2</v>
      </c>
      <c r="D31" s="5" t="s">
        <v>3</v>
      </c>
      <c r="F31" t="s">
        <v>17</v>
      </c>
    </row>
    <row r="32" spans="2:6" x14ac:dyDescent="0.25">
      <c r="B32" s="6" t="s">
        <v>4</v>
      </c>
      <c r="C32" s="3">
        <v>14.97</v>
      </c>
      <c r="D32" s="3">
        <f>(D30/100)*C32/(1044100/960000)</f>
        <v>137.64198831529549</v>
      </c>
      <c r="F32" t="s">
        <v>52</v>
      </c>
    </row>
    <row r="33" spans="2:6" x14ac:dyDescent="0.25">
      <c r="B33" s="7" t="s">
        <v>5</v>
      </c>
      <c r="C33" s="8">
        <v>85.03</v>
      </c>
      <c r="D33" s="8">
        <f>(D30/100)*C33/(1044100/497659)</f>
        <v>405.28632094626948</v>
      </c>
      <c r="F33" t="s">
        <v>49</v>
      </c>
    </row>
    <row r="34" spans="2:6" x14ac:dyDescent="0.25">
      <c r="B34" s="7" t="s">
        <v>29</v>
      </c>
      <c r="C34" s="8">
        <v>0</v>
      </c>
      <c r="D34" s="8">
        <f>(D30/100)*C34/(1044100/528966)</f>
        <v>0</v>
      </c>
      <c r="F34" t="s">
        <v>50</v>
      </c>
    </row>
    <row r="35" spans="2:6" x14ac:dyDescent="0.25">
      <c r="B35" s="7" t="s">
        <v>30</v>
      </c>
      <c r="C35" s="8">
        <v>0</v>
      </c>
      <c r="D35" s="8">
        <f>(D30/100)*C35/(1044100/533080)</f>
        <v>0</v>
      </c>
      <c r="F35" t="s">
        <v>26</v>
      </c>
    </row>
    <row r="36" spans="2:6" x14ac:dyDescent="0.25">
      <c r="B36" s="6" t="s">
        <v>6</v>
      </c>
      <c r="C36" s="3">
        <v>0</v>
      </c>
      <c r="D36" s="3">
        <f>(D30/100)*C36/(1044100/571648)</f>
        <v>0</v>
      </c>
    </row>
    <row r="37" spans="2:6" x14ac:dyDescent="0.25">
      <c r="B37" s="6" t="s">
        <v>7</v>
      </c>
      <c r="C37" s="3">
        <v>0</v>
      </c>
      <c r="D37" s="3">
        <f>(D30/100)*C37/(1044100/569447)</f>
        <v>0</v>
      </c>
      <c r="F37" t="s">
        <v>58</v>
      </c>
    </row>
    <row r="38" spans="2:6" x14ac:dyDescent="0.25">
      <c r="B38" s="6" t="s">
        <v>8</v>
      </c>
      <c r="C38" s="8">
        <v>0</v>
      </c>
      <c r="D38" s="3">
        <f>(D30/100)*C38/(1044100/580000)</f>
        <v>0</v>
      </c>
      <c r="F38" t="s">
        <v>65</v>
      </c>
    </row>
    <row r="39" spans="2:6" x14ac:dyDescent="0.25">
      <c r="B39" s="6" t="s">
        <v>9</v>
      </c>
      <c r="C39" s="8">
        <v>0</v>
      </c>
      <c r="D39" s="3">
        <f>(D30/100)*C39/(1044100/554651)</f>
        <v>0</v>
      </c>
      <c r="F39" t="s">
        <v>66</v>
      </c>
    </row>
    <row r="40" spans="2:6" x14ac:dyDescent="0.25">
      <c r="B40" s="6" t="s">
        <v>10</v>
      </c>
      <c r="C40" s="8">
        <v>0</v>
      </c>
      <c r="D40" s="3">
        <f>(D30/100)*C40/(1044100/553836)</f>
        <v>0</v>
      </c>
    </row>
    <row r="41" spans="2:6" x14ac:dyDescent="0.25">
      <c r="B41" s="6" t="s">
        <v>11</v>
      </c>
      <c r="C41" s="3">
        <v>0</v>
      </c>
      <c r="D41" s="3">
        <f>(D30/100)*C41/(1044100/550000)</f>
        <v>0</v>
      </c>
    </row>
    <row r="42" spans="2:6" x14ac:dyDescent="0.25">
      <c r="B42" s="4" t="s">
        <v>12</v>
      </c>
      <c r="C42" s="3" t="str">
        <f>C32+C33+C34+C35+C36+C37+C38+C39+C40+C41&amp;"%"</f>
        <v>100%</v>
      </c>
      <c r="D42" s="3" t="str">
        <f>D32+D33+D34+D35+D36+D37+D38+D39+D40+D41&amp;"g"</f>
        <v>542.928309261565g</v>
      </c>
    </row>
    <row r="44" spans="2:6" x14ac:dyDescent="0.25">
      <c r="B44" s="1" t="s">
        <v>19</v>
      </c>
      <c r="C44" s="2"/>
      <c r="D44" s="3">
        <v>1000</v>
      </c>
      <c r="F44" t="s">
        <v>18</v>
      </c>
    </row>
    <row r="45" spans="2:6" x14ac:dyDescent="0.25">
      <c r="B45" s="4" t="s">
        <v>1</v>
      </c>
      <c r="C45" s="5" t="s">
        <v>2</v>
      </c>
      <c r="D45" s="5" t="s">
        <v>3</v>
      </c>
      <c r="F45" t="s">
        <v>20</v>
      </c>
    </row>
    <row r="46" spans="2:6" x14ac:dyDescent="0.25">
      <c r="B46" s="6" t="s">
        <v>4</v>
      </c>
      <c r="C46" s="3">
        <v>10.365</v>
      </c>
      <c r="D46" s="3">
        <f>(D44/100)*C46/(1190700/960000)</f>
        <v>83.567649281935005</v>
      </c>
      <c r="F46" t="s">
        <v>21</v>
      </c>
    </row>
    <row r="47" spans="2:6" x14ac:dyDescent="0.25">
      <c r="B47" s="7" t="s">
        <v>5</v>
      </c>
      <c r="C47" s="8">
        <v>0</v>
      </c>
      <c r="D47" s="8">
        <f>(D44/100)*C47/(1190700/497659)</f>
        <v>0</v>
      </c>
      <c r="F47" t="s">
        <v>54</v>
      </c>
    </row>
    <row r="48" spans="2:6" x14ac:dyDescent="0.25">
      <c r="B48" s="7" t="s">
        <v>29</v>
      </c>
      <c r="C48" s="8">
        <v>0</v>
      </c>
      <c r="D48" s="8">
        <f>(D44/100)*C48/(1190700/528966)</f>
        <v>0</v>
      </c>
      <c r="F48" t="s">
        <v>53</v>
      </c>
    </row>
    <row r="49" spans="2:6" x14ac:dyDescent="0.25">
      <c r="B49" s="7" t="s">
        <v>30</v>
      </c>
      <c r="C49" s="8">
        <v>0</v>
      </c>
      <c r="D49" s="8">
        <f>(D44/100)*C49/(1190700/533080)</f>
        <v>0</v>
      </c>
      <c r="F49" t="s">
        <v>26</v>
      </c>
    </row>
    <row r="50" spans="2:6" x14ac:dyDescent="0.25">
      <c r="B50" s="6" t="s">
        <v>6</v>
      </c>
      <c r="C50" s="3">
        <v>0</v>
      </c>
      <c r="D50" s="3">
        <f>(D44/100)*C50/(1190700/571648)</f>
        <v>0</v>
      </c>
    </row>
    <row r="51" spans="2:6" x14ac:dyDescent="0.25">
      <c r="B51" s="6" t="s">
        <v>7</v>
      </c>
      <c r="C51" s="3">
        <v>0</v>
      </c>
      <c r="D51" s="3">
        <f>(D44/100)*C51/(1190700/569447)</f>
        <v>0</v>
      </c>
      <c r="F51" t="s">
        <v>58</v>
      </c>
    </row>
    <row r="52" spans="2:6" x14ac:dyDescent="0.25">
      <c r="B52" s="6" t="s">
        <v>8</v>
      </c>
      <c r="C52" s="8">
        <v>0</v>
      </c>
      <c r="D52" s="3">
        <f>(D44/100)*C52/(1190700/580000)</f>
        <v>0</v>
      </c>
      <c r="F52" t="s">
        <v>63</v>
      </c>
    </row>
    <row r="53" spans="2:6" x14ac:dyDescent="0.25">
      <c r="B53" s="6" t="s">
        <v>9</v>
      </c>
      <c r="C53" s="8">
        <v>89.635000000000005</v>
      </c>
      <c r="D53" s="3">
        <f>(D44/100)*C53/(1190700/554651)</f>
        <v>417.53709905937689</v>
      </c>
      <c r="F53" t="s">
        <v>64</v>
      </c>
    </row>
    <row r="54" spans="2:6" x14ac:dyDescent="0.25">
      <c r="B54" s="6" t="s">
        <v>10</v>
      </c>
      <c r="C54" s="8">
        <v>0</v>
      </c>
      <c r="D54" s="3">
        <f>(D44/100)*C54/(1190700/553836)</f>
        <v>0</v>
      </c>
    </row>
    <row r="55" spans="2:6" x14ac:dyDescent="0.25">
      <c r="B55" s="6" t="s">
        <v>11</v>
      </c>
      <c r="C55" s="3">
        <v>0</v>
      </c>
      <c r="D55" s="3">
        <f>(D44/100)*C55/(1190700/550000)</f>
        <v>0</v>
      </c>
    </row>
    <row r="56" spans="2:6" x14ac:dyDescent="0.25">
      <c r="B56" s="4" t="s">
        <v>12</v>
      </c>
      <c r="C56" s="3" t="str">
        <f>C46+C47+C48+C49+C50+C51+C52+C53+C54+C55&amp;"%"</f>
        <v>100%</v>
      </c>
      <c r="D56" s="3" t="str">
        <f>D46+D47+D48+D49+D50+D51+D52+D53+D54+D55&amp;"g"</f>
        <v>501.104748341312g</v>
      </c>
    </row>
    <row r="58" spans="2:6" x14ac:dyDescent="0.25">
      <c r="B58" s="1" t="s">
        <v>22</v>
      </c>
      <c r="C58" s="2"/>
      <c r="D58" s="3">
        <v>1000</v>
      </c>
      <c r="F58" t="s">
        <v>18</v>
      </c>
    </row>
    <row r="59" spans="2:6" x14ac:dyDescent="0.25">
      <c r="B59" s="4" t="s">
        <v>1</v>
      </c>
      <c r="C59" s="5" t="s">
        <v>2</v>
      </c>
      <c r="D59" s="5" t="s">
        <v>3</v>
      </c>
      <c r="F59" t="s">
        <v>20</v>
      </c>
    </row>
    <row r="60" spans="2:6" x14ac:dyDescent="0.25">
      <c r="B60" s="6" t="s">
        <v>4</v>
      </c>
      <c r="C60" s="3">
        <v>11.48</v>
      </c>
      <c r="D60" s="3">
        <f>(D58/100)*C60/(1137500/960000)</f>
        <v>96.88615384615386</v>
      </c>
      <c r="F60" t="s">
        <v>55</v>
      </c>
    </row>
    <row r="61" spans="2:6" x14ac:dyDescent="0.25">
      <c r="B61" s="7" t="s">
        <v>5</v>
      </c>
      <c r="C61" s="8">
        <v>0</v>
      </c>
      <c r="D61" s="8">
        <f>(D58/100)*C61/(1137500/497659)</f>
        <v>0</v>
      </c>
      <c r="F61" t="s">
        <v>54</v>
      </c>
    </row>
    <row r="62" spans="2:6" x14ac:dyDescent="0.25">
      <c r="B62" s="7" t="s">
        <v>29</v>
      </c>
      <c r="C62" s="8">
        <v>0</v>
      </c>
      <c r="D62" s="8">
        <f>(D58/100)*C62/(1137500/528966)</f>
        <v>0</v>
      </c>
      <c r="F62" t="s">
        <v>56</v>
      </c>
    </row>
    <row r="63" spans="2:6" x14ac:dyDescent="0.25">
      <c r="B63" s="7" t="s">
        <v>30</v>
      </c>
      <c r="C63" s="8">
        <v>0</v>
      </c>
      <c r="D63" s="8">
        <f>(D58/100)*C63/(1137500/533080)</f>
        <v>0</v>
      </c>
      <c r="F63" t="s">
        <v>26</v>
      </c>
    </row>
    <row r="64" spans="2:6" x14ac:dyDescent="0.25">
      <c r="B64" s="6" t="s">
        <v>6</v>
      </c>
      <c r="C64" s="3">
        <v>0</v>
      </c>
      <c r="D64" s="3">
        <f>(D58/100)*C64/(1137500/571648)</f>
        <v>0</v>
      </c>
    </row>
    <row r="65" spans="2:6" x14ac:dyDescent="0.25">
      <c r="B65" s="6" t="s">
        <v>7</v>
      </c>
      <c r="C65" s="3">
        <v>0</v>
      </c>
      <c r="D65" s="3">
        <f>(D58/100)*C65/(1137500/569447)</f>
        <v>0</v>
      </c>
      <c r="F65" t="s">
        <v>58</v>
      </c>
    </row>
    <row r="66" spans="2:6" x14ac:dyDescent="0.25">
      <c r="B66" s="6" t="s">
        <v>8</v>
      </c>
      <c r="C66" s="8">
        <v>0</v>
      </c>
      <c r="D66" s="3">
        <f>(D58/100)*C66/(1137500/580000)</f>
        <v>0</v>
      </c>
      <c r="F66" t="s">
        <v>61</v>
      </c>
    </row>
    <row r="67" spans="2:6" x14ac:dyDescent="0.25">
      <c r="B67" s="6" t="s">
        <v>9</v>
      </c>
      <c r="C67" s="8">
        <v>0</v>
      </c>
      <c r="D67" s="3">
        <f>(D58/100)*C67/(1137500/554651)</f>
        <v>0</v>
      </c>
      <c r="F67" t="s">
        <v>62</v>
      </c>
    </row>
    <row r="68" spans="2:6" x14ac:dyDescent="0.25">
      <c r="B68" s="6" t="s">
        <v>10</v>
      </c>
      <c r="C68" s="8">
        <v>88.52</v>
      </c>
      <c r="D68" s="3">
        <f>(D58/100)*C68/(1137500/553836)</f>
        <v>430.99395797802197</v>
      </c>
    </row>
    <row r="69" spans="2:6" x14ac:dyDescent="0.25">
      <c r="B69" s="6" t="s">
        <v>11</v>
      </c>
      <c r="C69" s="3">
        <v>0</v>
      </c>
      <c r="D69" s="3">
        <f>(D58/100)*C69/(1137500/550000)</f>
        <v>0</v>
      </c>
    </row>
    <row r="70" spans="2:6" x14ac:dyDescent="0.25">
      <c r="B70" s="4" t="s">
        <v>12</v>
      </c>
      <c r="C70" s="3" t="str">
        <f>C60+C61+C62+C63+C64+C65+C66+C67+C68+C69&amp;"%"</f>
        <v>100%</v>
      </c>
      <c r="D70" s="3" t="str">
        <f>D60+D61+D62+D63+D64+D65+D66+D67+D68+D69&amp;"g"</f>
        <v>527.880111824176g</v>
      </c>
    </row>
    <row r="72" spans="2:6" x14ac:dyDescent="0.25">
      <c r="B72" s="1" t="s">
        <v>23</v>
      </c>
      <c r="C72" s="2"/>
      <c r="D72" s="3">
        <v>1000</v>
      </c>
      <c r="F72" t="s">
        <v>18</v>
      </c>
    </row>
    <row r="73" spans="2:6" x14ac:dyDescent="0.25">
      <c r="B73" s="4" t="s">
        <v>1</v>
      </c>
      <c r="C73" s="5" t="s">
        <v>2</v>
      </c>
      <c r="D73" s="5" t="s">
        <v>3</v>
      </c>
      <c r="F73" t="s">
        <v>20</v>
      </c>
    </row>
    <row r="74" spans="2:6" x14ac:dyDescent="0.25">
      <c r="B74" s="6" t="s">
        <v>4</v>
      </c>
      <c r="C74" s="3">
        <v>4.9000000000000004</v>
      </c>
      <c r="D74" s="3">
        <f>(D72/100)*C74/(1206700/960000)</f>
        <v>38.98234855390735</v>
      </c>
      <c r="F74" t="s">
        <v>57</v>
      </c>
    </row>
    <row r="75" spans="2:6" x14ac:dyDescent="0.25">
      <c r="B75" s="7" t="s">
        <v>5</v>
      </c>
      <c r="C75" s="8">
        <v>0</v>
      </c>
      <c r="D75" s="8">
        <f>(D72/100)*C75/(1206700/497659)</f>
        <v>0</v>
      </c>
    </row>
    <row r="76" spans="2:6" x14ac:dyDescent="0.25">
      <c r="B76" s="7" t="s">
        <v>29</v>
      </c>
      <c r="C76" s="8">
        <v>0</v>
      </c>
      <c r="D76" s="8">
        <f>(D72/100)*C76/(1206700/528966)</f>
        <v>0</v>
      </c>
      <c r="F76" t="s">
        <v>58</v>
      </c>
    </row>
    <row r="77" spans="2:6" x14ac:dyDescent="0.25">
      <c r="B77" s="7" t="s">
        <v>30</v>
      </c>
      <c r="C77" s="8">
        <v>0</v>
      </c>
      <c r="D77" s="8">
        <f>(D72/100)*C77/(1206700/533080)</f>
        <v>0</v>
      </c>
      <c r="F77" t="s">
        <v>59</v>
      </c>
    </row>
    <row r="78" spans="2:6" x14ac:dyDescent="0.25">
      <c r="B78" s="6" t="s">
        <v>6</v>
      </c>
      <c r="C78" s="3">
        <v>0</v>
      </c>
      <c r="D78" s="3">
        <f>(D72/100)*C78/(1206700/571648)</f>
        <v>0</v>
      </c>
      <c r="F78" t="s">
        <v>60</v>
      </c>
    </row>
    <row r="79" spans="2:6" x14ac:dyDescent="0.25">
      <c r="B79" s="6" t="s">
        <v>7</v>
      </c>
      <c r="C79" s="3">
        <v>0</v>
      </c>
      <c r="D79" s="3">
        <f>(D72/100)*C79/(1206700/569447)</f>
        <v>0</v>
      </c>
    </row>
    <row r="80" spans="2:6" x14ac:dyDescent="0.25">
      <c r="B80" s="6" t="s">
        <v>8</v>
      </c>
      <c r="C80" s="8">
        <v>0</v>
      </c>
      <c r="D80" s="3">
        <f>(D72/100)*C80/(1206700/580000)</f>
        <v>0</v>
      </c>
    </row>
    <row r="81" spans="2:6" x14ac:dyDescent="0.25">
      <c r="B81" s="6" t="s">
        <v>9</v>
      </c>
      <c r="C81" s="8">
        <v>0</v>
      </c>
      <c r="D81" s="3">
        <f>(D72/100)*C81/(1206700/554651)</f>
        <v>0</v>
      </c>
    </row>
    <row r="82" spans="2:6" x14ac:dyDescent="0.25">
      <c r="B82" s="6" t="s">
        <v>10</v>
      </c>
      <c r="C82" s="8">
        <v>95.1</v>
      </c>
      <c r="D82" s="3">
        <f>(D72/100)*C82/(1206700/553836)</f>
        <v>436.47802767879335</v>
      </c>
    </row>
    <row r="83" spans="2:6" x14ac:dyDescent="0.25">
      <c r="B83" s="6" t="s">
        <v>31</v>
      </c>
      <c r="C83" s="8">
        <v>0</v>
      </c>
      <c r="D83" s="3">
        <f>(D72/100)*C83/(1206700/552956)</f>
        <v>0</v>
      </c>
    </row>
    <row r="84" spans="2:6" x14ac:dyDescent="0.25">
      <c r="B84" s="6" t="s">
        <v>11</v>
      </c>
      <c r="C84" s="3">
        <v>0</v>
      </c>
      <c r="D84" s="3">
        <f>(D72/100)*C84/(1206700/550000)</f>
        <v>0</v>
      </c>
    </row>
    <row r="85" spans="2:6" x14ac:dyDescent="0.25">
      <c r="B85" s="4" t="s">
        <v>12</v>
      </c>
      <c r="C85" s="3" t="str">
        <f>C74+C75+C76+C77+C78+C79+C80+C81+C82+C83+C84&amp;"%"</f>
        <v>100%</v>
      </c>
      <c r="D85" s="3" t="str">
        <f>D74+D75+D76+D77+D78+D79+D80+D81+D82+D83+D84&amp;"g"</f>
        <v>475.460376232701g</v>
      </c>
    </row>
    <row r="87" spans="2:6" x14ac:dyDescent="0.25">
      <c r="B87" s="1" t="s">
        <v>25</v>
      </c>
      <c r="C87" s="2"/>
      <c r="D87" s="3">
        <v>1000</v>
      </c>
      <c r="F87" t="s">
        <v>18</v>
      </c>
    </row>
    <row r="88" spans="2:6" x14ac:dyDescent="0.25">
      <c r="B88" s="4" t="s">
        <v>1</v>
      </c>
      <c r="C88" s="5" t="s">
        <v>2</v>
      </c>
      <c r="D88" s="5" t="s">
        <v>3</v>
      </c>
      <c r="F88" t="s">
        <v>57</v>
      </c>
    </row>
    <row r="89" spans="2:6" x14ac:dyDescent="0.25">
      <c r="B89" s="6" t="s">
        <v>4</v>
      </c>
      <c r="C89" s="3">
        <v>0</v>
      </c>
      <c r="D89" s="3">
        <f>(D87/100)*C89/(1094000/960000)</f>
        <v>0</v>
      </c>
    </row>
    <row r="90" spans="2:6" x14ac:dyDescent="0.25">
      <c r="B90" s="7" t="s">
        <v>5</v>
      </c>
      <c r="C90" s="8">
        <v>0</v>
      </c>
      <c r="D90" s="8">
        <f>(D87/100)*C90/(1094000/497659)</f>
        <v>0</v>
      </c>
    </row>
    <row r="91" spans="2:6" x14ac:dyDescent="0.25">
      <c r="B91" s="7" t="s">
        <v>29</v>
      </c>
      <c r="C91" s="8">
        <v>0</v>
      </c>
      <c r="D91" s="8">
        <f>(D87/100)*C91/(1094000/528966)</f>
        <v>0</v>
      </c>
    </row>
    <row r="92" spans="2:6" x14ac:dyDescent="0.25">
      <c r="B92" s="7" t="s">
        <v>30</v>
      </c>
      <c r="C92" s="8">
        <v>0</v>
      </c>
      <c r="D92" s="8">
        <f>(D87/100)*C92/(1094000/533080)</f>
        <v>0</v>
      </c>
    </row>
    <row r="93" spans="2:6" x14ac:dyDescent="0.25">
      <c r="B93" s="6" t="s">
        <v>6</v>
      </c>
      <c r="C93" s="3">
        <v>0</v>
      </c>
      <c r="D93" s="3">
        <f>(D87/100)*C93/(1094000/571648)</f>
        <v>0</v>
      </c>
    </row>
    <row r="94" spans="2:6" x14ac:dyDescent="0.25">
      <c r="B94" s="6" t="s">
        <v>7</v>
      </c>
      <c r="C94" s="3">
        <v>0</v>
      </c>
      <c r="D94" s="3">
        <f>(D87/100)*C94/(1094000/569447)</f>
        <v>0</v>
      </c>
    </row>
    <row r="95" spans="2:6" x14ac:dyDescent="0.25">
      <c r="B95" s="6" t="s">
        <v>8</v>
      </c>
      <c r="C95" s="8">
        <v>0</v>
      </c>
      <c r="D95" s="3">
        <f>(D87/100)*C95/(1094000/580000)</f>
        <v>0</v>
      </c>
    </row>
    <row r="96" spans="2:6" x14ac:dyDescent="0.25">
      <c r="B96" s="6" t="s">
        <v>9</v>
      </c>
      <c r="C96" s="8">
        <v>0</v>
      </c>
      <c r="D96" s="3">
        <f>(D87/100)*C96/(1094000/554651)</f>
        <v>0</v>
      </c>
    </row>
    <row r="97" spans="2:6" x14ac:dyDescent="0.25">
      <c r="B97" s="6" t="s">
        <v>10</v>
      </c>
      <c r="C97" s="8">
        <v>100</v>
      </c>
      <c r="D97" s="3">
        <f>(D87/100)*C97/(1094000/553836)</f>
        <v>506.2486288848263</v>
      </c>
    </row>
    <row r="98" spans="2:6" x14ac:dyDescent="0.25">
      <c r="B98" s="6" t="s">
        <v>31</v>
      </c>
      <c r="C98" s="8">
        <v>0</v>
      </c>
      <c r="D98" s="3">
        <f>(D87/100)*C98/(1094000/552956)</f>
        <v>0</v>
      </c>
    </row>
    <row r="99" spans="2:6" x14ac:dyDescent="0.25">
      <c r="B99" s="6" t="s">
        <v>11</v>
      </c>
      <c r="C99" s="3">
        <v>0</v>
      </c>
      <c r="D99" s="3">
        <f>(D87/100)*C99/(1094000/550000)</f>
        <v>0</v>
      </c>
    </row>
    <row r="100" spans="2:6" x14ac:dyDescent="0.25">
      <c r="B100" s="4" t="s">
        <v>12</v>
      </c>
      <c r="C100" s="3" t="str">
        <f>C89+C90+C91+C92+C93+C94+C95+C96+C97+C99&amp;"%"</f>
        <v>100%</v>
      </c>
      <c r="D100" s="3" t="str">
        <f>D89+D90+D91+D92+D93+D94+D95+D96+D97+D98+D99&amp;"g"</f>
        <v>506.248628884826g</v>
      </c>
    </row>
    <row r="102" spans="2:6" x14ac:dyDescent="0.25">
      <c r="B102" s="1" t="s">
        <v>24</v>
      </c>
      <c r="C102" s="2"/>
      <c r="D102" s="3">
        <v>1000</v>
      </c>
      <c r="F102" t="s">
        <v>18</v>
      </c>
    </row>
    <row r="103" spans="2:6" x14ac:dyDescent="0.25">
      <c r="B103" s="4" t="s">
        <v>1</v>
      </c>
      <c r="C103" s="5" t="s">
        <v>2</v>
      </c>
      <c r="D103" s="5" t="s">
        <v>3</v>
      </c>
      <c r="F103" t="s">
        <v>57</v>
      </c>
    </row>
    <row r="104" spans="2:6" x14ac:dyDescent="0.25">
      <c r="B104" s="6" t="s">
        <v>4</v>
      </c>
      <c r="C104" s="3">
        <v>0</v>
      </c>
      <c r="D104" s="3">
        <f>(D102/100)*C104/(1170000/960000)</f>
        <v>0</v>
      </c>
    </row>
    <row r="105" spans="2:6" x14ac:dyDescent="0.25">
      <c r="B105" s="7" t="s">
        <v>5</v>
      </c>
      <c r="C105" s="8">
        <v>0</v>
      </c>
      <c r="D105" s="8">
        <f>(D102/100)*C105/(1170000/497659)</f>
        <v>0</v>
      </c>
    </row>
    <row r="106" spans="2:6" x14ac:dyDescent="0.25">
      <c r="B106" s="7" t="s">
        <v>29</v>
      </c>
      <c r="C106" s="8">
        <v>0</v>
      </c>
      <c r="D106" s="8">
        <f>(D102/100)*C106/(1170000/528966)</f>
        <v>0</v>
      </c>
    </row>
    <row r="107" spans="2:6" x14ac:dyDescent="0.25">
      <c r="B107" s="7" t="s">
        <v>30</v>
      </c>
      <c r="C107" s="8">
        <v>0</v>
      </c>
      <c r="D107" s="8">
        <f>(D102/100)*C107/(1170000/533080)</f>
        <v>0</v>
      </c>
    </row>
    <row r="108" spans="2:6" x14ac:dyDescent="0.25">
      <c r="B108" s="6" t="s">
        <v>6</v>
      </c>
      <c r="C108" s="3">
        <v>0</v>
      </c>
      <c r="D108" s="3">
        <f>(D102/100)*C108/(1170000/571648)</f>
        <v>0</v>
      </c>
    </row>
    <row r="109" spans="2:6" x14ac:dyDescent="0.25">
      <c r="B109" s="6" t="s">
        <v>7</v>
      </c>
      <c r="C109" s="3">
        <v>0</v>
      </c>
      <c r="D109" s="3">
        <f>(D102/100)*C109/(1170000/569447)</f>
        <v>0</v>
      </c>
    </row>
    <row r="110" spans="2:6" x14ac:dyDescent="0.25">
      <c r="B110" s="6" t="s">
        <v>8</v>
      </c>
      <c r="C110" s="8">
        <v>0</v>
      </c>
      <c r="D110" s="3">
        <f>(D102/100)*C110/(1170000/580000)</f>
        <v>0</v>
      </c>
    </row>
    <row r="111" spans="2:6" x14ac:dyDescent="0.25">
      <c r="B111" s="6" t="s">
        <v>9</v>
      </c>
      <c r="C111" s="8">
        <v>0</v>
      </c>
      <c r="D111" s="3">
        <f>(D102/100)*C111/(1170000/554651)</f>
        <v>0</v>
      </c>
    </row>
    <row r="112" spans="2:6" x14ac:dyDescent="0.25">
      <c r="B112" s="6" t="s">
        <v>10</v>
      </c>
      <c r="C112" s="8">
        <v>100</v>
      </c>
      <c r="D112" s="3">
        <f>(D102/100)*C112/(1170000/553836)</f>
        <v>473.36410256410255</v>
      </c>
    </row>
    <row r="113" spans="2:4" x14ac:dyDescent="0.25">
      <c r="B113" s="6" t="s">
        <v>31</v>
      </c>
      <c r="C113" s="8">
        <v>0</v>
      </c>
      <c r="D113" s="3">
        <f>(D102/100)*C113/(1170000/552956)</f>
        <v>0</v>
      </c>
    </row>
    <row r="114" spans="2:4" x14ac:dyDescent="0.25">
      <c r="B114" s="6" t="s">
        <v>11</v>
      </c>
      <c r="C114" s="3">
        <v>0</v>
      </c>
      <c r="D114" s="3">
        <f>(D102/100)*C114/(1170000/550000)</f>
        <v>0</v>
      </c>
    </row>
    <row r="115" spans="2:4" x14ac:dyDescent="0.25">
      <c r="B115" s="4" t="s">
        <v>12</v>
      </c>
      <c r="C115" s="3" t="str">
        <f>C104+C105+C106+C107+C108+C109+C110+C111+C112+C114&amp;"%"</f>
        <v>100%</v>
      </c>
      <c r="D115" s="3" t="str">
        <f>D104+D105+D106+D107+D108+D109+D110+D111+D112+D113+D114&amp;"g"</f>
        <v>473.364102564103g</v>
      </c>
    </row>
    <row r="117" spans="2:4" x14ac:dyDescent="0.25">
      <c r="B117" s="12" t="s">
        <v>38</v>
      </c>
    </row>
    <row r="118" spans="2:4" x14ac:dyDescent="0.25">
      <c r="B118" t="s">
        <v>41</v>
      </c>
    </row>
    <row r="119" spans="2:4" x14ac:dyDescent="0.25">
      <c r="B119" t="s">
        <v>39</v>
      </c>
    </row>
    <row r="120" spans="2:4" x14ac:dyDescent="0.25">
      <c r="B120" t="s">
        <v>40</v>
      </c>
    </row>
    <row r="121" spans="2:4" x14ac:dyDescent="0.25">
      <c r="B121" t="s">
        <v>47</v>
      </c>
    </row>
    <row r="123" spans="2:4" x14ac:dyDescent="0.25">
      <c r="B123" t="s">
        <v>46</v>
      </c>
    </row>
    <row r="124" spans="2:4" x14ac:dyDescent="0.25">
      <c r="B124" t="s">
        <v>44</v>
      </c>
      <c r="C124" t="s">
        <v>43</v>
      </c>
    </row>
    <row r="125" spans="2:4" x14ac:dyDescent="0.25">
      <c r="B125" t="s">
        <v>45</v>
      </c>
      <c r="C125" t="s">
        <v>42</v>
      </c>
    </row>
    <row r="127" spans="2:4" x14ac:dyDescent="0.25">
      <c r="B127" s="9" t="s">
        <v>32</v>
      </c>
    </row>
    <row r="128" spans="2:4" x14ac:dyDescent="0.25">
      <c r="B128" s="10" t="s">
        <v>33</v>
      </c>
    </row>
    <row r="129" spans="2:2" x14ac:dyDescent="0.25">
      <c r="B129" s="10" t="s">
        <v>34</v>
      </c>
    </row>
    <row r="130" spans="2:2" x14ac:dyDescent="0.25">
      <c r="B130" t="s">
        <v>35</v>
      </c>
    </row>
    <row r="131" spans="2:2" x14ac:dyDescent="0.25">
      <c r="B131" t="s">
        <v>36</v>
      </c>
    </row>
    <row r="132" spans="2:2" x14ac:dyDescent="0.25">
      <c r="B132" s="11" t="s">
        <v>37</v>
      </c>
    </row>
  </sheetData>
  <hyperlinks>
    <hyperlink ref="B129" r:id="rId1" display="Facebook: Hydrocarbon Conspiracy" xr:uid="{AF0FF33D-B752-494C-B5D1-A1FD1AE041D6}"/>
    <hyperlink ref="B128" r:id="rId2" xr:uid="{B80B341F-0F56-4270-80A6-A42DB49A08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2025-11-03T10:28:03Z</dcterms:modified>
</cp:coreProperties>
</file>